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18. Planilhas finais PIDE 2022-2027\v.5_19.02.24\"/>
    </mc:Choice>
  </mc:AlternateContent>
  <xr:revisionPtr revIDLastSave="0" documentId="13_ncr:1_{00B594AA-4A30-4199-BE8A-AAA30CAA331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ENU" sheetId="17" r:id="rId1"/>
    <sheet name="Instruções" sheetId="12" state="hidden" r:id="rId2"/>
    <sheet name="Indicadores_Metas" sheetId="5" r:id="rId3"/>
    <sheet name="Indicadores_Metas Reprogramação" sheetId="15" state="hidden" r:id="rId4"/>
    <sheet name="Meta_Demandas" sheetId="3" r:id="rId5"/>
    <sheet name="Obras" sheetId="16" r:id="rId6"/>
    <sheet name="Memória de Cálculo" sheetId="13" state="hidden" r:id="rId7"/>
    <sheet name="lista suspensa" sheetId="11" state="hidden" r:id="rId8"/>
    <sheet name="Listas_suspensas" sheetId="9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6" i="16" l="1"/>
  <c r="M24" i="16"/>
  <c r="M22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N14" i="5"/>
  <c r="M14" i="5"/>
  <c r="L14" i="5"/>
  <c r="K14" i="5"/>
  <c r="J14" i="5"/>
  <c r="I14" i="5"/>
  <c r="H14" i="5"/>
  <c r="R33" i="13" l="1"/>
  <c r="T33" i="13" s="1"/>
  <c r="B45" i="13" l="1"/>
  <c r="R44" i="13" l="1"/>
  <c r="T44" i="13" s="1"/>
  <c r="R36" i="13"/>
  <c r="T36" i="13" s="1"/>
  <c r="R35" i="13"/>
  <c r="T35" i="13" s="1"/>
  <c r="R34" i="13"/>
  <c r="T34" i="13" s="1"/>
  <c r="R32" i="13"/>
  <c r="T32" i="13" s="1"/>
  <c r="R31" i="13"/>
  <c r="T31" i="13" s="1"/>
  <c r="R30" i="13"/>
  <c r="T30" i="13" s="1"/>
  <c r="R29" i="13"/>
  <c r="T29" i="13" s="1"/>
  <c r="R28" i="13"/>
  <c r="T28" i="13" s="1"/>
  <c r="R27" i="13"/>
  <c r="T27" i="13" s="1"/>
  <c r="G35" i="13" l="1"/>
  <c r="I35" i="13" s="1"/>
  <c r="G34" i="13"/>
  <c r="I34" i="13" s="1"/>
  <c r="G33" i="13"/>
  <c r="I33" i="13" s="1"/>
  <c r="G32" i="13"/>
  <c r="I32" i="13" s="1"/>
  <c r="G31" i="13"/>
  <c r="I31" i="13" s="1"/>
  <c r="G30" i="13"/>
  <c r="I30" i="13" s="1"/>
  <c r="G29" i="13"/>
  <c r="I29" i="13" s="1"/>
  <c r="G28" i="13"/>
  <c r="I28" i="13" s="1"/>
  <c r="G27" i="13"/>
  <c r="I27" i="13" s="1"/>
  <c r="G36" i="13"/>
  <c r="I36" i="13" s="1"/>
  <c r="G44" i="13"/>
  <c r="B24" i="13" l="1"/>
  <c r="C44" i="13" l="1"/>
  <c r="B37" i="13"/>
  <c r="D37" i="13" s="1"/>
  <c r="D36" i="13"/>
  <c r="D35" i="13"/>
  <c r="D34" i="13"/>
  <c r="D33" i="13"/>
  <c r="E12" i="13"/>
  <c r="C41" i="13" s="1"/>
  <c r="D41" i="13" s="1"/>
  <c r="E41" i="13" s="1"/>
  <c r="D44" i="13" l="1"/>
  <c r="E44" i="13" s="1"/>
  <c r="I44" i="13"/>
  <c r="J44" i="13" s="1"/>
  <c r="C42" i="13"/>
  <c r="D42" i="13" s="1"/>
  <c r="E42" i="13" s="1"/>
  <c r="C43" i="13" l="1"/>
  <c r="D43" i="13"/>
  <c r="E43" i="13" s="1"/>
  <c r="C45" i="13"/>
  <c r="D45" i="13" s="1"/>
  <c r="E45" i="13" s="1"/>
  <c r="J3" i="5" l="1"/>
  <c r="H4" i="3"/>
  <c r="I4" i="3" s="1"/>
  <c r="J4" i="3" s="1"/>
  <c r="K4" i="3" s="1"/>
  <c r="L4" i="3" s="1"/>
  <c r="G3" i="3"/>
  <c r="H3" i="3" s="1"/>
  <c r="K5" i="5"/>
  <c r="L5" i="5" s="1"/>
  <c r="M5" i="5" s="1"/>
  <c r="N5" i="5" s="1"/>
  <c r="I4" i="5"/>
  <c r="J4" i="5" s="1"/>
  <c r="K4" i="5" s="1"/>
  <c r="L4" i="5" s="1"/>
  <c r="M4" i="5" s="1"/>
  <c r="N4" i="5" s="1"/>
  <c r="I8" i="5"/>
  <c r="J8" i="5" s="1"/>
  <c r="K8" i="5" s="1"/>
  <c r="L8" i="5" s="1"/>
  <c r="M8" i="5" s="1"/>
  <c r="N8" i="5" s="1"/>
  <c r="I9" i="5"/>
  <c r="J9" i="5" s="1"/>
  <c r="K9" i="5" s="1"/>
  <c r="L9" i="5" s="1"/>
  <c r="M9" i="5" s="1"/>
  <c r="N9" i="5" s="1"/>
  <c r="I10" i="5"/>
  <c r="J10" i="5" s="1"/>
  <c r="K10" i="5" s="1"/>
  <c r="L10" i="5" s="1"/>
  <c r="M10" i="5" s="1"/>
  <c r="N10" i="5" s="1"/>
  <c r="I13" i="5"/>
  <c r="J13" i="5" s="1"/>
  <c r="K13" i="5" s="1"/>
  <c r="L13" i="5" s="1"/>
  <c r="M13" i="5" s="1"/>
  <c r="N13" i="5" s="1"/>
  <c r="H15" i="5"/>
  <c r="I15" i="5" s="1"/>
  <c r="J15" i="5" s="1"/>
  <c r="K15" i="5" s="1"/>
  <c r="L15" i="5" s="1"/>
  <c r="M15" i="5" s="1"/>
  <c r="N15" i="5" s="1"/>
  <c r="I3" i="3" l="1"/>
  <c r="J3" i="3" s="1"/>
  <c r="K3" i="3" s="1"/>
  <c r="L3" i="3" s="1"/>
  <c r="M4" i="3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M3" i="3" l="1"/>
</calcChain>
</file>

<file path=xl/sharedStrings.xml><?xml version="1.0" encoding="utf-8"?>
<sst xmlns="http://schemas.openxmlformats.org/spreadsheetml/2006/main" count="610" uniqueCount="297">
  <si>
    <t>EIXO INFRAESTRUTURA FÍSICA, LOGÍSTICA E SUSTENTABILIDADE</t>
  </si>
  <si>
    <t>Indicadores</t>
  </si>
  <si>
    <t>P01</t>
  </si>
  <si>
    <t>Ampliação da infraestrutura física</t>
  </si>
  <si>
    <t>P02</t>
  </si>
  <si>
    <t>Índice de manutenção e reforma da infraestrutura física (contratos + almoxarifado obras)</t>
  </si>
  <si>
    <t>P03</t>
  </si>
  <si>
    <t xml:space="preserve">Área de edificações acessiveis </t>
  </si>
  <si>
    <t>P04</t>
  </si>
  <si>
    <t xml:space="preserve">Índice de coleta seletiva solidária </t>
  </si>
  <si>
    <t>P05</t>
  </si>
  <si>
    <t>Taxa de cobertura de Gerenciamento de Resíduos Sólidos (GRS)</t>
  </si>
  <si>
    <t>P06</t>
  </si>
  <si>
    <t xml:space="preserve">Índice de gastos per capita com vigilância </t>
  </si>
  <si>
    <t>P07</t>
  </si>
  <si>
    <t xml:space="preserve">Índice de gastos per capita com transporte </t>
  </si>
  <si>
    <t>P08</t>
  </si>
  <si>
    <t xml:space="preserve">Índice de gastos per capita com limpeza  </t>
  </si>
  <si>
    <t>P09</t>
  </si>
  <si>
    <t>Índice de gasto per capita com consumo de água (m³)</t>
  </si>
  <si>
    <t>P10</t>
  </si>
  <si>
    <t>Índice de gasto per capita com consumo de Energia Elétrica (kWh)</t>
  </si>
  <si>
    <t>P11</t>
  </si>
  <si>
    <t>Índice de gasto per capita com consumo de papel (folhas)</t>
  </si>
  <si>
    <t>P12</t>
  </si>
  <si>
    <t>Índice de gasto per capita com  consumo de copos descartáveis</t>
  </si>
  <si>
    <t>P13</t>
  </si>
  <si>
    <t>Índice de gasto per capita com  descarte ambientalmente adequados de resíduos</t>
  </si>
  <si>
    <t>Demandas</t>
  </si>
  <si>
    <t>P14</t>
  </si>
  <si>
    <t>Manutenção e pequenas reformas</t>
  </si>
  <si>
    <t>P15</t>
  </si>
  <si>
    <t>Reformas e adequações de médio e grande porte</t>
  </si>
  <si>
    <t>Obras</t>
  </si>
  <si>
    <t>P16</t>
  </si>
  <si>
    <t>Conclusão do Bloco 1APM</t>
  </si>
  <si>
    <t>P17</t>
  </si>
  <si>
    <t>Conclusão do Bloco 1JCP</t>
  </si>
  <si>
    <t>P18</t>
  </si>
  <si>
    <t>Telefonia Umuarama</t>
  </si>
  <si>
    <t>P19</t>
  </si>
  <si>
    <t>Conclusão do Bloco 1ACG</t>
  </si>
  <si>
    <t>P20</t>
  </si>
  <si>
    <t>Anexo Bloco 1BMC</t>
  </si>
  <si>
    <t>P21</t>
  </si>
  <si>
    <t>Construção Bloco FAMED</t>
  </si>
  <si>
    <t>P22</t>
  </si>
  <si>
    <t>Construção Bloco 1BPM</t>
  </si>
  <si>
    <t>P23</t>
  </si>
  <si>
    <t>Construção Bloco 1ECG</t>
  </si>
  <si>
    <t>P24</t>
  </si>
  <si>
    <t xml:space="preserve">Elaboração de projeto Executivo para implantação do CNT – Centro Nacional de Tecnologias para Pessoas com Deficiência e Doenças Raras, na cidade de Uberlândia-MG </t>
  </si>
  <si>
    <r>
      <t xml:space="preserve">1. Consulte as informações do indicador/meta;
2. Preencha o valor "Realizado - 2023" considerando a coluna "período de apuração dos dados";
3. Caso a meta não tenha sido cumprida, selecionar a principal justificativa na lista (campo obrigatório);
4. Aponte uma breve descrição da justificativa apresentada (campo obrigatório);
5. Aponte as ações corretivas planejadas para o próximo exercício;
6. Para metas com resultado superior ao planejado, inclua as boas práticas adotadas pelo eixo temático.
7. Finalizado o preenchimento, faça </t>
    </r>
    <r>
      <rPr>
        <i/>
        <sz val="11"/>
        <rFont val="Arial"/>
        <family val="2"/>
      </rPr>
      <t>upload</t>
    </r>
    <r>
      <rPr>
        <sz val="11"/>
        <rFont val="Arial"/>
        <family val="2"/>
      </rPr>
      <t xml:space="preserve"> da planilha na pasta denominada "planilha preenchida", disponível no OneDrive.</t>
    </r>
  </si>
  <si>
    <t>ID</t>
  </si>
  <si>
    <t>Diretriz estratégica</t>
  </si>
  <si>
    <t>Indicador</t>
  </si>
  <si>
    <t>Fórmula de cálculo</t>
  </si>
  <si>
    <t>Descrição da meta</t>
  </si>
  <si>
    <t>Unidade de medida</t>
  </si>
  <si>
    <t>Valor 2019</t>
  </si>
  <si>
    <t>Planejado - 2022</t>
  </si>
  <si>
    <t>Realizado - 2022</t>
  </si>
  <si>
    <t>Planejado - 2023</t>
  </si>
  <si>
    <t>Realizado - 2023</t>
  </si>
  <si>
    <t>Planejado - 2024</t>
  </si>
  <si>
    <t>Planejado - 2025</t>
  </si>
  <si>
    <t>Planejado - 2026</t>
  </si>
  <si>
    <t>Planejado - 2027</t>
  </si>
  <si>
    <t>Parâmetro</t>
  </si>
  <si>
    <t>Vinculação com a Lei Orçamentária Anual (LOA)</t>
  </si>
  <si>
    <t>Fonte de recursos orçamentários</t>
  </si>
  <si>
    <t>Autoavaliação</t>
  </si>
  <si>
    <t>Vinculação com ODS - Objetivos do Desenvolvimento Sustentável</t>
  </si>
  <si>
    <t>Outros planos</t>
  </si>
  <si>
    <t>Tipo
(Obrigatório/Opcional)</t>
  </si>
  <si>
    <t>Unidade responsável</t>
  </si>
  <si>
    <t>Diretriz 12 - Ampliar, adequar e gerir o uso e a ocupação sustentável do espaço físico, em consonância com os Planos Diretores, otimizando as edificações e a infraestrutura existentes.</t>
  </si>
  <si>
    <t>Ampliação da infraestrutura física*</t>
  </si>
  <si>
    <t>Área Construida 
(somente conclusão da obra)</t>
  </si>
  <si>
    <t>Adequar o Índice de ampliação da infraestrutura física</t>
  </si>
  <si>
    <t>m²</t>
  </si>
  <si>
    <t>-</t>
  </si>
  <si>
    <t>Recursos orçamentários</t>
  </si>
  <si>
    <t>Outros</t>
  </si>
  <si>
    <t>O valor deve ser adequado às demandas</t>
  </si>
  <si>
    <t xml:space="preserve">8282 - Restruturação e Modernização das Instituições Federais de Ensino Superior </t>
  </si>
  <si>
    <t>Extraorçamentário</t>
  </si>
  <si>
    <t>Média. Os recursos de infraestrutura, materiais, humanos e orçamentários atuais são parcialmente suficientes para a execução da meta</t>
  </si>
  <si>
    <t>Objetivos 4 e 3</t>
  </si>
  <si>
    <t>Outro(s)</t>
  </si>
  <si>
    <t>Obrigatório - eixo</t>
  </si>
  <si>
    <t>PREFE</t>
  </si>
  <si>
    <t>Índice de manutenção e reforma
 da infraestrutura física
(contratos + almoxarifado obras)</t>
  </si>
  <si>
    <t>[(Valor aplicado em custeio em manutenção e reforma) / Quantidade de m² existentes)] x 100</t>
  </si>
  <si>
    <t>Adequar o Índice de manutenção e reforma
 da infraestrutura física
(contratos + almoxarifado obras)</t>
  </si>
  <si>
    <t>R$/m²</t>
  </si>
  <si>
    <t>Orçamentário</t>
  </si>
  <si>
    <t>Não</t>
  </si>
  <si>
    <t>Áreas acessíveis 
(Edificações concluídas que atendam os critérios estabelecidos pela Lei nº 10.098, 19/12/2000, em consonância com o Decreto nº 5.296, 02/12/2004 e Lei nº 13.146, 06/07/2015.)</t>
  </si>
  <si>
    <t xml:space="preserve">Elevar a Taxa de edificações acessiveis </t>
  </si>
  <si>
    <t>Quanto maior, melhor</t>
  </si>
  <si>
    <t xml:space="preserve">Índice de coleta seletiva solidária  </t>
  </si>
  <si>
    <t>[(Total de campi onde há Coleta Seletiva Solidária / Total de campi da UFU)] x 100</t>
  </si>
  <si>
    <t xml:space="preserve">Elevar o Índice de coleta seletiva solidária  </t>
  </si>
  <si>
    <t>Percentual (%)</t>
  </si>
  <si>
    <t>20RK - Funcionamento de Instituições Federais de Ensino Superior</t>
  </si>
  <si>
    <t>Objetivos 6,11,12,14</t>
  </si>
  <si>
    <t>Plano de Logística sustentável, Política Ambiental da UFU</t>
  </si>
  <si>
    <t>[(Número de campi e unidades onde há GRS)/ Número total de campi e unidades] x 100</t>
  </si>
  <si>
    <t>Manter a Taxa de cobertura de Gerenciamento de Resíduos Sólidos (GRS)</t>
  </si>
  <si>
    <t>Alta. Os recursos de infraestrutura, materiais, humanos e orçamentários atuais são suficientes para a execução integral da meta</t>
  </si>
  <si>
    <t>Gasto total com vigilância / ( Docentes + Técnicos Administrativos + Terceirizados + Discentes )</t>
  </si>
  <si>
    <t>Adequar o Índice de gastos per capita 
com vigilância</t>
  </si>
  <si>
    <t>Gastos/per capita</t>
  </si>
  <si>
    <t>Objetivo 16</t>
  </si>
  <si>
    <r>
      <t xml:space="preserve">Índice de gastos </t>
    </r>
    <r>
      <rPr>
        <i/>
        <sz val="10"/>
        <color rgb="FF000000"/>
        <rFont val="Arial"/>
        <family val="2"/>
      </rPr>
      <t xml:space="preserve">per capita
 </t>
    </r>
    <r>
      <rPr>
        <sz val="10"/>
        <color rgb="FF000000"/>
        <rFont val="Arial"/>
        <family val="2"/>
      </rPr>
      <t xml:space="preserve">com transporte </t>
    </r>
  </si>
  <si>
    <t>Gasto total com transporte / ( Docentes + Técnicos Administrativos + Terceirizados + Discentes )</t>
  </si>
  <si>
    <t xml:space="preserve">Adequar o Índice de gastos per capita
 com transporte </t>
  </si>
  <si>
    <t>Gasto total com limpeza / ( Docentes + Técnicos Administrativos + Terceirizados + Discentes )</t>
  </si>
  <si>
    <t>Adequar o Índice de gastos per capita 
com limpeza</t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</si>
  <si>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água (m³)</t>
    </r>
  </si>
  <si>
    <t>Quantidade de m³ consumidos / ( Docentes + Técnicos Administrativos + Terceirizados + Discentes )</t>
  </si>
  <si>
    <t>Manter o Índice de gasto per capita com consumo de água (m³)</t>
  </si>
  <si>
    <t>Quanto menor, melhor</t>
  </si>
  <si>
    <t>Objetivos 6 e 14</t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</si>
  <si>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Energia Elétrica (kWh)</t>
    </r>
  </si>
  <si>
    <t>Quantidade de Kwh consumidos / ( Docentes + Técnicos Administrativos + Terceirizados + Discentes )</t>
  </si>
  <si>
    <t>Manter o Índice de gasto per capita com consumo de Energia Elétrica (Kwh)</t>
  </si>
  <si>
    <t>Objetivos 6 e 13</t>
  </si>
  <si>
    <r>
      <t xml:space="preserve">Índice de gasto </t>
    </r>
    <r>
      <rPr>
        <i/>
        <sz val="10"/>
        <color theme="1"/>
        <rFont val="Arial"/>
        <family val="2"/>
      </rPr>
      <t>per capita</t>
    </r>
    <r>
      <rPr>
        <sz val="10"/>
        <color theme="1"/>
        <rFont val="Arial"/>
        <family val="2"/>
      </rPr>
      <t xml:space="preserve"> com consumo de papel (folhas)</t>
    </r>
  </si>
  <si>
    <t>Quantidade consumida de papel (em resmas) / ( Docentes + Técnicos Administrativos + Terceirizados + Discentes )</t>
  </si>
  <si>
    <t>Diminuir o Índice de gasto per capita com consumo de papel (resmas)</t>
  </si>
  <si>
    <t>Objetivo 12</t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</si>
  <si>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consumo de copos descartáveis</t>
    </r>
  </si>
  <si>
    <t>Quantidade de copos descartáveis / ( Docentes + Técnicos Administrativos + Terceirizados )</t>
  </si>
  <si>
    <t>Diminuir o Índice de gasto per capita com  consumo de copos descartáveis</t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</si>
  <si>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descarte ambientalmente adequados de resíduos</t>
    </r>
  </si>
  <si>
    <t>Gasto com descarte ambientalmente 
adequado  de resíduos / ( Docentes + Técnicos
 Administrativos + Terceirizados + Discentes )</t>
  </si>
  <si>
    <t>Elevar o Índice de gasto per capita com  descarte ambientalmente adequados de resíduos</t>
  </si>
  <si>
    <t>* Valor de referência de 2019 não disponível</t>
  </si>
  <si>
    <t>Categoria</t>
  </si>
  <si>
    <t>Quantidade prevista (2022-2027)</t>
  </si>
  <si>
    <t>Grau de prioridade</t>
  </si>
  <si>
    <t xml:space="preserve">Realizar manutenção e pequenas reformas dos espaços físicos </t>
  </si>
  <si>
    <t>Orçamento</t>
  </si>
  <si>
    <t>5013-20RK : Funcionamento de Instituições Federais de Ensino Superior</t>
  </si>
  <si>
    <t>Objetivos 3, 4 e 8</t>
  </si>
  <si>
    <t>Realizar reformas e adequações dos espaços físicos mediante licitação pública</t>
  </si>
  <si>
    <t>Campus</t>
  </si>
  <si>
    <t>Identificação da obra</t>
  </si>
  <si>
    <t>Total (soma dos anos)</t>
  </si>
  <si>
    <t>Patos de Minas</t>
  </si>
  <si>
    <t>% execução do projeto</t>
  </si>
  <si>
    <t>Ituiutaba</t>
  </si>
  <si>
    <t>Uberlândia</t>
  </si>
  <si>
    <t>P24*</t>
  </si>
  <si>
    <t>Glória</t>
  </si>
  <si>
    <t>FINEP </t>
  </si>
  <si>
    <t>PROPP/FEMEC </t>
  </si>
  <si>
    <t>75,00% </t>
  </si>
  <si>
    <t>Ano 2022</t>
  </si>
  <si>
    <t>Número de Cursos</t>
  </si>
  <si>
    <t>Vagas Novas </t>
  </si>
  <si>
    <t>Ingressantes - Vagas Novas </t>
  </si>
  <si>
    <t>Matriculados</t>
  </si>
  <si>
    <t>Concluintes</t>
  </si>
  <si>
    <t>Graduação - presencial</t>
  </si>
  <si>
    <t>Graduação EAD</t>
  </si>
  <si>
    <t>Mestrado Acadêmico</t>
  </si>
  <si>
    <t>Mestrado Profissional</t>
  </si>
  <si>
    <t>Doutorado</t>
  </si>
  <si>
    <t>Pós-Doutorado</t>
  </si>
  <si>
    <t>Residência Médica</t>
  </si>
  <si>
    <t>Residência Multiprofissional </t>
  </si>
  <si>
    <t>Educação Básica</t>
  </si>
  <si>
    <t>Educação Profissional</t>
  </si>
  <si>
    <t>Fonte: Censo da Educação Superior 2022;  Anuário 2022</t>
  </si>
  <si>
    <t>Quadro de Pessoal</t>
  </si>
  <si>
    <t>Docentes efetivos do Ensino Superior</t>
  </si>
  <si>
    <t>Docentes substitutos do Ensino Superior</t>
  </si>
  <si>
    <t>Docente efetivos do Ensino Técnico - ESTES</t>
  </si>
  <si>
    <t>Docente substitutos do Ensino Técnico - ESTES</t>
  </si>
  <si>
    <t>Docentes efetivos do Ensino Básico - ESEBA</t>
  </si>
  <si>
    <t>Docentes substitutos do Ensino Básico - ESEBA</t>
  </si>
  <si>
    <t>Técnicos administrativos da Universidade Federal de Uberlândia</t>
  </si>
  <si>
    <t>Técnicos administrativos do Hospital de Clínicas</t>
  </si>
  <si>
    <t>Retirado</t>
  </si>
  <si>
    <t>Terceirizados (sem HC)</t>
  </si>
  <si>
    <t>Fonte: Anuário 2022</t>
  </si>
  <si>
    <t>Copos</t>
  </si>
  <si>
    <t>Pacotes de descartáveis</t>
  </si>
  <si>
    <t>Folhas</t>
  </si>
  <si>
    <t>Resmas</t>
  </si>
  <si>
    <t>Item (Unidade)</t>
  </si>
  <si>
    <t>Consumo (nov/21-out/22)</t>
  </si>
  <si>
    <t>População</t>
  </si>
  <si>
    <r>
      <t xml:space="preserve">Consumo </t>
    </r>
    <r>
      <rPr>
        <b/>
        <i/>
        <sz val="10"/>
        <color rgb="FF000000"/>
        <rFont val="Arial"/>
        <family val="2"/>
      </rPr>
      <t>per capita</t>
    </r>
  </si>
  <si>
    <t>PIDE 2019</t>
  </si>
  <si>
    <t>Energia (kWh)</t>
  </si>
  <si>
    <t>Água (m3)</t>
  </si>
  <si>
    <t>Papel (folhas)</t>
  </si>
  <si>
    <t>Copos Descartáveis (unidades)</t>
  </si>
  <si>
    <t>Resíduos</t>
  </si>
  <si>
    <t>Consumo (nov/22-out/23)</t>
  </si>
  <si>
    <t>Recursos humanos</t>
  </si>
  <si>
    <t>Espaço fisico</t>
  </si>
  <si>
    <t>Capacitação/qualificação da equipe</t>
  </si>
  <si>
    <t>Decisões judiciais</t>
  </si>
  <si>
    <t>Legislações externas</t>
  </si>
  <si>
    <t>Atos normativos internos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</si>
  <si>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</si>
  <si>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</si>
  <si>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</si>
  <si>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</si>
  <si>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</si>
  <si>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Construção</t>
  </si>
  <si>
    <t xml:space="preserve">Adequar o </t>
  </si>
  <si>
    <t>Índice de ampliação da infraestrutura física</t>
  </si>
  <si>
    <t>Reforma</t>
  </si>
  <si>
    <t>Manutenção</t>
  </si>
  <si>
    <t>Baixa. Não há disponibilidade de recursos para a execução da meta</t>
  </si>
  <si>
    <t xml:space="preserve">Elevar a </t>
  </si>
  <si>
    <t xml:space="preserve">Taxa de edificações acessiveis </t>
  </si>
  <si>
    <t>Manter a</t>
  </si>
  <si>
    <t>Objetivo 1</t>
  </si>
  <si>
    <t>ENDES - Estratégia Nacional de Desenvolvimento Econômico e Social</t>
  </si>
  <si>
    <t xml:space="preserve">Elevar o </t>
  </si>
  <si>
    <r>
      <rPr>
        <sz val="11"/>
        <color rgb="FF000000"/>
        <rFont val="Calibri"/>
        <family val="2"/>
        <charset val="1"/>
      </rPr>
      <t>Índice de coleta seletiva solidária</t>
    </r>
    <r>
      <rPr>
        <sz val="9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 </t>
    </r>
  </si>
  <si>
    <t>Objetivo 2</t>
  </si>
  <si>
    <t>PDTIC - Plano Diretor de Tecnologia da Informação e Comunicação</t>
  </si>
  <si>
    <t xml:space="preserve">Manter o </t>
  </si>
  <si>
    <t>Objetivo 3</t>
  </si>
  <si>
    <t>PNE - Plano Nacional de Educação</t>
  </si>
  <si>
    <t>Objetivo 4</t>
  </si>
  <si>
    <t>Plano de Logística Sustentável</t>
  </si>
  <si>
    <t xml:space="preserve">Manter a </t>
  </si>
  <si>
    <t>Objetivo 5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</si>
  <si>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
com vigilância</t>
    </r>
  </si>
  <si>
    <t>Objetivo 6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</si>
  <si>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 xml:space="preserve">per capita
 </t>
    </r>
    <r>
      <rPr>
        <sz val="11"/>
        <color rgb="FF000000"/>
        <rFont val="Calibri"/>
        <family val="2"/>
        <charset val="1"/>
      </rPr>
      <t xml:space="preserve">com transporte </t>
    </r>
  </si>
  <si>
    <t>Objetivo 7</t>
  </si>
  <si>
    <t>Índice de gastos per capita 
com limpeza</t>
  </si>
  <si>
    <t>Objetivo 8</t>
  </si>
  <si>
    <t xml:space="preserve">Diminuir o 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</si>
  <si>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água (m³)</t>
    </r>
  </si>
  <si>
    <t>Objetivo 9</t>
  </si>
  <si>
    <t>Objetivo 10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</si>
  <si>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Energia Elétrica (Kwh)</t>
    </r>
  </si>
  <si>
    <t>Objetivo 11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</si>
  <si>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papel (resmas)</t>
    </r>
  </si>
  <si>
    <t>Objetivo 13</t>
  </si>
  <si>
    <t>Objetivo 14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</si>
  <si>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consumo de copos descartáveis</t>
    </r>
  </si>
  <si>
    <t>Objetivo 15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</si>
  <si>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descarte ambientalmente adequados de resíduos</t>
    </r>
  </si>
  <si>
    <t>Objetivo 17</t>
  </si>
  <si>
    <t>Regulamentar nos conselhos normas acadêmicas no âmbito da prefeitura universitária por meio de resolução (conforme art.º 322 do Regimento Geral)</t>
  </si>
  <si>
    <t>LOA</t>
  </si>
  <si>
    <t>Regulamentar nos conselhos normas administrativas no âmbito da prefeitura universitária por meio de resolução (conforme art.º 322 do Regimento Geral)</t>
  </si>
  <si>
    <t>0032-2004 : Assistência Médica e Odontológica aos Servidores Civis, Empregados, Militares e seus Dependentes</t>
  </si>
  <si>
    <t>Regulamentar diretrizes, políticas, planos, programas, ações, projetos ou procedimentos no âmbito da prefeitura universitária por meio de portaria (conforme art.º 323 do Regimento Geral)</t>
  </si>
  <si>
    <t>0032-20TP : Ativos Civis da União</t>
  </si>
  <si>
    <t>0032-212B : Benefícios Obrigatórios aos Servidores Civis, Empregados, Militares e seus Dependentes</t>
  </si>
  <si>
    <t>Recurso orçamentário</t>
  </si>
  <si>
    <t>0032-4572 : Capacitação de Servidores Públicos Federais em Processo de Qualificação e Requalificação</t>
  </si>
  <si>
    <t>0032-0181 : Aposentadorias e Pensões Civis da União</t>
  </si>
  <si>
    <t>0032-09HB : Contribuição da União, de suas Autarquias e Fundações para o Custeio do Regime de Previdência dos Servidores Públicos Federais</t>
  </si>
  <si>
    <t>Não se aplica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</si>
  <si>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</si>
  <si>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</si>
  <si>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</si>
  <si>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</si>
  <si>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</si>
  <si>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</si>
  <si>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</si>
  <si>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</si>
  <si>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5013-4002 : Assistência ao Estudante de Ensino Superior</t>
  </si>
  <si>
    <t>5013-8282 : Reestruturação e Modernização das Instituições Federais de Ensino Superior</t>
  </si>
  <si>
    <t>Dados enviados no processo SEI: 23117.025472/2022-87 , documentos: 5180725 e 5194458</t>
  </si>
  <si>
    <t>MENU</t>
  </si>
  <si>
    <t>OBRAS</t>
  </si>
  <si>
    <t>P25**</t>
  </si>
  <si>
    <t>Construção do bloco Almoxarifado e Arquivo no Campus Glória – SIMEC, ID 56184.</t>
  </si>
  <si>
    <t>Governo Federal PAC 2024/2026</t>
  </si>
  <si>
    <t>GABIR/PROPLAD/PREFE</t>
  </si>
  <si>
    <t>P26**</t>
  </si>
  <si>
    <t>Pontal</t>
  </si>
  <si>
    <t>Construção da infraestrutura de acesso, passeios e estacionamento no Campus Pontal – SIMEC, ID 56197.</t>
  </si>
  <si>
    <t>P27**</t>
  </si>
  <si>
    <t>Construção do Galpão para abrigar o Túnel de vento do Curso de Engenharia Aeronáutica, da Engenharia Mecânica, no Campus Glória – SIMEC, ID 56258.</t>
  </si>
  <si>
    <t/>
  </si>
  <si>
    <t>*Obra incluída em Setembro/2023 após apreciação da CPDE/COMGOV</t>
  </si>
  <si>
    <t>** Obra incluída em 12/2023 após apreciação da CPDE/COMGOV</t>
  </si>
  <si>
    <t>P25</t>
  </si>
  <si>
    <t>P26</t>
  </si>
  <si>
    <t>Construção da infraestrutura de acesso, passeios e estacionamento no Campus Pontal – SIMEC, ID 56197</t>
  </si>
  <si>
    <t>P27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</si>
</sst>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&quot;R$&quot;\ #,##0"/>
  </numFmts>
  <fonts count="3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CC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FFD966"/>
      </patternFill>
    </fill>
    <fill>
      <patternFill patternType="solid">
        <fgColor theme="8" tint="0.39997558519241921"/>
        <bgColor rgb="FFB4C7E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Border="0" applyProtection="0"/>
    <xf numFmtId="0" fontId="2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129">
    <xf numFmtId="0" fontId="0" fillId="0" borderId="0" xfId="0"/>
    <xf numFmtId="0" fontId="0" fillId="3" borderId="0" xfId="0" applyFill="1"/>
    <xf numFmtId="0" fontId="3" fillId="0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8" fillId="0" borderId="0" xfId="1" applyFont="1" applyBorder="1" applyAlignment="1" applyProtection="1">
      <alignment horizontal="center" vertical="center" wrapText="1"/>
    </xf>
    <xf numFmtId="0" fontId="19" fillId="0" borderId="0" xfId="0" applyFont="1"/>
    <xf numFmtId="0" fontId="19" fillId="3" borderId="0" xfId="0" applyFont="1" applyFill="1"/>
    <xf numFmtId="0" fontId="19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1" applyFont="1"/>
    <xf numFmtId="0" fontId="20" fillId="0" borderId="0" xfId="0" applyFont="1" applyAlignment="1">
      <alignment horizontal="center"/>
    </xf>
    <xf numFmtId="0" fontId="22" fillId="6" borderId="0" xfId="1" applyFont="1" applyFill="1"/>
    <xf numFmtId="0" fontId="21" fillId="6" borderId="0" xfId="1" applyFont="1" applyFill="1"/>
    <xf numFmtId="0" fontId="19" fillId="6" borderId="0" xfId="0" applyFont="1" applyFill="1"/>
    <xf numFmtId="0" fontId="1" fillId="0" borderId="0" xfId="5"/>
    <xf numFmtId="0" fontId="24" fillId="0" borderId="0" xfId="5" applyFont="1"/>
    <xf numFmtId="0" fontId="11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4" fontId="10" fillId="0" borderId="1" xfId="3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0" borderId="16" xfId="0" applyFont="1" applyBorder="1"/>
    <xf numFmtId="0" fontId="28" fillId="0" borderId="17" xfId="0" applyFont="1" applyBorder="1"/>
    <xf numFmtId="0" fontId="23" fillId="0" borderId="18" xfId="0" applyFont="1" applyBorder="1"/>
    <xf numFmtId="0" fontId="23" fillId="0" borderId="19" xfId="0" applyFont="1" applyBorder="1" applyAlignment="1">
      <alignment horizontal="center"/>
    </xf>
    <xf numFmtId="3" fontId="23" fillId="0" borderId="19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8" fillId="0" borderId="17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11" fillId="0" borderId="1" xfId="0" applyFont="1" applyBorder="1" applyAlignment="1">
      <alignment readingOrder="1"/>
    </xf>
    <xf numFmtId="0" fontId="10" fillId="0" borderId="1" xfId="0" applyFont="1" applyBorder="1" applyAlignment="1">
      <alignment readingOrder="1"/>
    </xf>
    <xf numFmtId="43" fontId="10" fillId="0" borderId="1" xfId="6" applyFont="1" applyBorder="1" applyAlignment="1">
      <alignment readingOrder="1"/>
    </xf>
    <xf numFmtId="3" fontId="10" fillId="0" borderId="1" xfId="0" applyNumberFormat="1" applyFont="1" applyBorder="1" applyAlignment="1">
      <alignment readingOrder="1"/>
    </xf>
    <xf numFmtId="43" fontId="10" fillId="0" borderId="1" xfId="0" applyNumberFormat="1" applyFont="1" applyBorder="1" applyAlignment="1">
      <alignment readingOrder="1"/>
    </xf>
    <xf numFmtId="0" fontId="23" fillId="11" borderId="18" xfId="0" applyFont="1" applyFill="1" applyBorder="1"/>
    <xf numFmtId="3" fontId="23" fillId="11" borderId="19" xfId="0" applyNumberFormat="1" applyFont="1" applyFill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64" fontId="0" fillId="0" borderId="0" xfId="4" applyNumberFormat="1" applyFont="1" applyAlignment="1">
      <alignment horizontal="left"/>
    </xf>
    <xf numFmtId="165" fontId="0" fillId="0" borderId="0" xfId="6" applyNumberFormat="1" applyFont="1"/>
    <xf numFmtId="0" fontId="29" fillId="0" borderId="0" xfId="0" applyFont="1" applyAlignment="1">
      <alignment horizontal="center"/>
    </xf>
    <xf numFmtId="3" fontId="0" fillId="0" borderId="0" xfId="0" applyNumberFormat="1"/>
    <xf numFmtId="0" fontId="31" fillId="0" borderId="0" xfId="0" applyFont="1" applyAlignment="1">
      <alignment horizontal="left"/>
    </xf>
    <xf numFmtId="0" fontId="32" fillId="0" borderId="0" xfId="0" applyFont="1"/>
    <xf numFmtId="3" fontId="32" fillId="0" borderId="0" xfId="0" applyNumberFormat="1" applyFont="1"/>
    <xf numFmtId="10" fontId="0" fillId="0" borderId="0" xfId="4" applyNumberFormat="1" applyFont="1" applyAlignment="1">
      <alignment horizontal="left"/>
    </xf>
    <xf numFmtId="4" fontId="0" fillId="0" borderId="0" xfId="0" applyNumberFormat="1"/>
    <xf numFmtId="4" fontId="0" fillId="11" borderId="0" xfId="0" applyNumberFormat="1" applyFill="1"/>
    <xf numFmtId="4" fontId="32" fillId="0" borderId="0" xfId="0" applyNumberFormat="1" applyFont="1"/>
    <xf numFmtId="0" fontId="23" fillId="0" borderId="0" xfId="0" applyFont="1" applyAlignment="1">
      <alignment horizontal="center"/>
    </xf>
    <xf numFmtId="3" fontId="10" fillId="0" borderId="0" xfId="0" applyNumberFormat="1" applyFont="1" applyAlignment="1">
      <alignment horizontal="center" readingOrder="1"/>
    </xf>
    <xf numFmtId="0" fontId="0" fillId="12" borderId="0" xfId="0" applyFill="1"/>
    <xf numFmtId="165" fontId="0" fillId="12" borderId="0" xfId="6" applyNumberFormat="1" applyFont="1" applyFill="1"/>
    <xf numFmtId="3" fontId="10" fillId="12" borderId="0" xfId="0" applyNumberFormat="1" applyFont="1" applyFill="1" applyAlignment="1">
      <alignment horizontal="center" readingOrder="1"/>
    </xf>
    <xf numFmtId="4" fontId="0" fillId="12" borderId="0" xfId="0" applyNumberFormat="1" applyFill="1"/>
    <xf numFmtId="3" fontId="0" fillId="12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center" vertical="center"/>
    </xf>
    <xf numFmtId="9" fontId="10" fillId="0" borderId="1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10" fillId="0" borderId="1" xfId="4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6" borderId="0" xfId="0" applyFont="1" applyFill="1" applyAlignment="1">
      <alignment horizontal="left"/>
    </xf>
    <xf numFmtId="0" fontId="21" fillId="0" borderId="0" xfId="1" applyFont="1"/>
    <xf numFmtId="0" fontId="22" fillId="6" borderId="0" xfId="1" applyFont="1" applyFill="1" applyAlignment="1">
      <alignment horizontal="left" wrapText="1"/>
    </xf>
    <xf numFmtId="0" fontId="19" fillId="6" borderId="0" xfId="0" applyFont="1" applyFill="1" applyAlignment="1">
      <alignment horizontal="left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2" fillId="0" borderId="9" xfId="5" applyFont="1" applyBorder="1" applyAlignment="1">
      <alignment horizontal="left" vertical="top" wrapText="1"/>
    </xf>
    <xf numFmtId="0" fontId="26" fillId="0" borderId="8" xfId="5" applyFont="1" applyBorder="1" applyAlignment="1">
      <alignment horizontal="left" vertical="top"/>
    </xf>
    <xf numFmtId="0" fontId="26" fillId="0" borderId="10" xfId="5" applyFont="1" applyBorder="1" applyAlignment="1">
      <alignment horizontal="left" vertical="top"/>
    </xf>
    <xf numFmtId="0" fontId="26" fillId="0" borderId="11" xfId="5" applyFont="1" applyBorder="1" applyAlignment="1">
      <alignment horizontal="left" vertical="top"/>
    </xf>
    <xf numFmtId="0" fontId="26" fillId="0" borderId="0" xfId="5" applyFont="1" applyAlignment="1">
      <alignment horizontal="left" vertical="top"/>
    </xf>
    <xf numFmtId="0" fontId="26" fillId="0" borderId="12" xfId="5" applyFont="1" applyBorder="1" applyAlignment="1">
      <alignment horizontal="left" vertical="top"/>
    </xf>
    <xf numFmtId="0" fontId="26" fillId="0" borderId="13" xfId="5" applyFont="1" applyBorder="1" applyAlignment="1">
      <alignment horizontal="left" vertical="top"/>
    </xf>
    <xf numFmtId="0" fontId="26" fillId="0" borderId="14" xfId="5" applyFont="1" applyBorder="1" applyAlignment="1">
      <alignment horizontal="left" vertical="top"/>
    </xf>
    <xf numFmtId="0" fontId="26" fillId="0" borderId="15" xfId="5" applyFont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4" fontId="10" fillId="0" borderId="1" xfId="3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4" fontId="10" fillId="0" borderId="20" xfId="3" applyFont="1" applyBorder="1" applyAlignment="1">
      <alignment horizontal="center" vertical="center"/>
    </xf>
    <xf numFmtId="44" fontId="10" fillId="0" borderId="21" xfId="3" applyFont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</cellXfs>
  <cellStyles count="7">
    <cellStyle name="Hiperlink" xfId="1" builtinId="8"/>
    <cellStyle name="Moeda" xfId="3" builtinId="4"/>
    <cellStyle name="Normal" xfId="0" builtinId="0"/>
    <cellStyle name="Normal 7" xfId="5" xr:uid="{00000000-0005-0000-0000-000003000000}"/>
    <cellStyle name="Porcentagem" xfId="4" builtinId="5"/>
    <cellStyle name="Texto Explicativo" xfId="2" builtinId="53" customBuiltin="1"/>
    <cellStyle name="Vírgula" xfId="6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3465A4"/>
      <rgbColor rgb="FFA9D18E"/>
      <rgbColor rgb="FF2C363A"/>
      <rgbColor rgb="FF548235"/>
      <rgbColor rgb="FF003300"/>
      <rgbColor rgb="FF222222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357337</xdr:colOff>
      <xdr:row>0</xdr:row>
      <xdr:rowOff>118958</xdr:rowOff>
    </xdr:from>
    <xdr:to>
      <xdr:col>4</xdr:col>
      <xdr:colOff>385507</xdr:colOff>
      <xdr:row>5</xdr:row>
      <xdr:rowOff>147758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AE0FA8-6CD1-41E6-9ABF-8305AE895219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690962" y="118958"/>
          <a:ext cx="2571345" cy="981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142875</xdr:rowOff>
    </xdr:from>
    <xdr:to>
      <xdr:col>4</xdr:col>
      <xdr:colOff>914400</xdr:colOff>
      <xdr:row>7</xdr:row>
      <xdr:rowOff>180975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DB72A14-B1B6-4486-8A54-1267DD84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91" b="26254"/>
        <a:stretch>
          <a:fillRect/>
        </a:stretch>
      </xdr:blipFill>
      <xdr:spPr bwMode="auto">
        <a:xfrm>
          <a:off x="2686050" y="142875"/>
          <a:ext cx="3876675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26991" b="2625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12600">
              <a:solidFill>
                <a:srgbClr val="2F528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0FBA-AB0D-495E-9C04-DE330C3539B3}">
  <sheetPr>
    <tabColor rgb="FFFFD966"/>
  </sheetPr>
  <dimension ref="A1:AMX40"/>
  <sheetViews>
    <sheetView showGridLines="0" tabSelected="1" zoomScale="80" zoomScaleNormal="80" workbookViewId="0">
      <selection activeCell="H1" sqref="H1:XFD1048576"/>
    </sheetView>
  </sheetViews>
  <sheetFormatPr defaultColWidth="0" defaultRowHeight="15" customHeight="1" zeroHeight="1" x14ac:dyDescent="0.25"/>
  <cols>
    <col min="1" max="1" width="3.85546875" style="14" customWidth="1"/>
    <col min="2" max="2" width="5.5703125" style="16" customWidth="1"/>
    <col min="3" max="3" width="25.5703125" style="23" customWidth="1"/>
    <col min="4" max="4" width="38.140625" style="23" customWidth="1"/>
    <col min="5" max="5" width="15.28515625" style="23" customWidth="1"/>
    <col min="6" max="6" width="34.5703125" style="23" customWidth="1"/>
    <col min="7" max="7" width="9.140625" customWidth="1"/>
    <col min="8" max="1036" width="9.140625" hidden="1" customWidth="1"/>
    <col min="1037" max="1037" width="7.140625" hidden="1" customWidth="1"/>
    <col min="1038" max="1038" width="0" hidden="1" customWidth="1"/>
    <col min="1039" max="16384" width="9.140625" hidden="1"/>
  </cols>
  <sheetData>
    <row r="1" spans="1:6" x14ac:dyDescent="0.25">
      <c r="C1" s="14"/>
      <c r="D1" s="14"/>
      <c r="E1" s="14"/>
      <c r="F1" s="14"/>
    </row>
    <row r="2" spans="1:6" x14ac:dyDescent="0.25">
      <c r="C2" s="14"/>
      <c r="D2" s="14"/>
      <c r="E2" s="14"/>
      <c r="F2" s="14"/>
    </row>
    <row r="3" spans="1:6" x14ac:dyDescent="0.25">
      <c r="C3" s="14"/>
      <c r="D3" s="14"/>
      <c r="E3" s="14"/>
      <c r="F3" s="14"/>
    </row>
    <row r="4" spans="1:6" x14ac:dyDescent="0.25">
      <c r="C4" s="14"/>
      <c r="D4" s="14"/>
      <c r="E4" s="14"/>
      <c r="F4" s="14"/>
    </row>
    <row r="5" spans="1:6" x14ac:dyDescent="0.25">
      <c r="C5" s="14"/>
      <c r="D5" s="14"/>
      <c r="E5" s="14"/>
      <c r="F5" s="14"/>
    </row>
    <row r="6" spans="1:6" x14ac:dyDescent="0.25">
      <c r="C6" s="14"/>
      <c r="D6" s="14"/>
      <c r="E6" s="14"/>
      <c r="F6" s="14"/>
    </row>
    <row r="7" spans="1:6" ht="14.45" customHeight="1" thickBot="1" x14ac:dyDescent="0.3">
      <c r="B7" s="101" t="s">
        <v>0</v>
      </c>
      <c r="C7" s="102"/>
      <c r="D7" s="102"/>
      <c r="E7" s="102"/>
      <c r="F7" s="103"/>
    </row>
    <row r="8" spans="1:6" x14ac:dyDescent="0.25">
      <c r="B8" s="104"/>
      <c r="C8" s="105"/>
      <c r="D8" s="105"/>
      <c r="E8" s="105"/>
      <c r="F8" s="106"/>
    </row>
    <row r="9" spans="1:6" s="1" customFormat="1" x14ac:dyDescent="0.25">
      <c r="A9" s="15"/>
      <c r="B9" s="17"/>
      <c r="C9" s="18"/>
      <c r="D9" s="18"/>
      <c r="E9" s="18"/>
      <c r="F9" s="18"/>
    </row>
    <row r="10" spans="1:6" x14ac:dyDescent="0.25">
      <c r="C10" s="19" t="s">
        <v>1</v>
      </c>
      <c r="D10" s="14"/>
      <c r="E10" s="14"/>
      <c r="F10" s="14"/>
    </row>
    <row r="11" spans="1:6" ht="17.25" customHeight="1" x14ac:dyDescent="0.25">
      <c r="B11" s="20" t="s">
        <v>2</v>
      </c>
      <c r="C11" s="97" t="s">
        <v>3</v>
      </c>
      <c r="D11" s="97"/>
      <c r="E11" s="97"/>
      <c r="F11" s="97"/>
    </row>
    <row r="12" spans="1:6" ht="17.25" customHeight="1" x14ac:dyDescent="0.25">
      <c r="B12" s="20" t="s">
        <v>4</v>
      </c>
      <c r="C12" s="100" t="s">
        <v>5</v>
      </c>
      <c r="D12" s="97"/>
      <c r="E12" s="97"/>
      <c r="F12" s="97"/>
    </row>
    <row r="13" spans="1:6" ht="17.25" customHeight="1" x14ac:dyDescent="0.25">
      <c r="B13" s="20" t="s">
        <v>6</v>
      </c>
      <c r="C13" s="97" t="s">
        <v>7</v>
      </c>
      <c r="D13" s="97"/>
      <c r="E13" s="97"/>
      <c r="F13" s="97"/>
    </row>
    <row r="14" spans="1:6" ht="17.25" customHeight="1" x14ac:dyDescent="0.25">
      <c r="B14" s="20" t="s">
        <v>8</v>
      </c>
      <c r="C14" s="97" t="s">
        <v>9</v>
      </c>
      <c r="D14" s="97"/>
      <c r="E14" s="97"/>
      <c r="F14" s="97"/>
    </row>
    <row r="15" spans="1:6" ht="17.25" customHeight="1" x14ac:dyDescent="0.25">
      <c r="B15" s="20" t="s">
        <v>10</v>
      </c>
      <c r="C15" s="97" t="s">
        <v>11</v>
      </c>
      <c r="D15" s="97"/>
      <c r="E15" s="97"/>
      <c r="F15" s="97"/>
    </row>
    <row r="16" spans="1:6" ht="17.25" customHeight="1" x14ac:dyDescent="0.25">
      <c r="B16" s="20" t="s">
        <v>12</v>
      </c>
      <c r="C16" s="97" t="s">
        <v>13</v>
      </c>
      <c r="D16" s="97"/>
      <c r="E16" s="97"/>
      <c r="F16" s="97"/>
    </row>
    <row r="17" spans="2:6" ht="17.25" customHeight="1" x14ac:dyDescent="0.25">
      <c r="B17" s="20" t="s">
        <v>14</v>
      </c>
      <c r="C17" s="100" t="s">
        <v>15</v>
      </c>
      <c r="D17" s="100"/>
      <c r="E17" s="100"/>
      <c r="F17" s="100"/>
    </row>
    <row r="18" spans="2:6" ht="17.25" customHeight="1" x14ac:dyDescent="0.25">
      <c r="B18" s="20" t="s">
        <v>16</v>
      </c>
      <c r="C18" s="97" t="s">
        <v>17</v>
      </c>
      <c r="D18" s="97"/>
      <c r="E18" s="97"/>
      <c r="F18" s="97"/>
    </row>
    <row r="19" spans="2:6" ht="17.25" customHeight="1" x14ac:dyDescent="0.25">
      <c r="B19" s="20" t="s">
        <v>18</v>
      </c>
      <c r="C19" s="97" t="s">
        <v>19</v>
      </c>
      <c r="D19" s="97"/>
      <c r="E19" s="97"/>
      <c r="F19" s="97"/>
    </row>
    <row r="20" spans="2:6" ht="17.25" customHeight="1" x14ac:dyDescent="0.25">
      <c r="B20" s="20" t="s">
        <v>20</v>
      </c>
      <c r="C20" s="97" t="s">
        <v>21</v>
      </c>
      <c r="D20" s="97"/>
      <c r="E20" s="97"/>
      <c r="F20" s="97"/>
    </row>
    <row r="21" spans="2:6" ht="17.25" customHeight="1" x14ac:dyDescent="0.25">
      <c r="B21" s="20" t="s">
        <v>22</v>
      </c>
      <c r="C21" s="97" t="s">
        <v>23</v>
      </c>
      <c r="D21" s="97"/>
      <c r="E21" s="97"/>
      <c r="F21" s="97"/>
    </row>
    <row r="22" spans="2:6" ht="17.25" customHeight="1" x14ac:dyDescent="0.25">
      <c r="B22" s="20" t="s">
        <v>24</v>
      </c>
      <c r="C22" s="97" t="s">
        <v>25</v>
      </c>
      <c r="D22" s="97"/>
      <c r="E22" s="97"/>
      <c r="F22" s="97"/>
    </row>
    <row r="23" spans="2:6" ht="17.25" customHeight="1" x14ac:dyDescent="0.25">
      <c r="B23" s="20" t="s">
        <v>26</v>
      </c>
      <c r="C23" s="97" t="s">
        <v>27</v>
      </c>
      <c r="D23" s="97"/>
      <c r="E23" s="97"/>
      <c r="F23" s="97"/>
    </row>
    <row r="24" spans="2:6" ht="17.25" customHeight="1" x14ac:dyDescent="0.25">
      <c r="B24" s="20"/>
      <c r="C24" s="98" t="s">
        <v>28</v>
      </c>
      <c r="D24" s="98"/>
      <c r="E24" s="98"/>
      <c r="F24" s="98"/>
    </row>
    <row r="25" spans="2:6" ht="17.25" customHeight="1" x14ac:dyDescent="0.25">
      <c r="B25" s="20" t="s">
        <v>29</v>
      </c>
      <c r="C25" s="21" t="s">
        <v>30</v>
      </c>
      <c r="D25" s="22"/>
      <c r="E25" s="22"/>
      <c r="F25" s="22"/>
    </row>
    <row r="26" spans="2:6" ht="17.25" customHeight="1" x14ac:dyDescent="0.25">
      <c r="B26" s="20" t="s">
        <v>31</v>
      </c>
      <c r="C26" s="21" t="s">
        <v>32</v>
      </c>
      <c r="D26" s="22"/>
      <c r="E26" s="22"/>
      <c r="F26" s="22"/>
    </row>
    <row r="27" spans="2:6" ht="17.25" customHeight="1" x14ac:dyDescent="0.25">
      <c r="B27" s="20"/>
      <c r="C27" s="19" t="s">
        <v>33</v>
      </c>
      <c r="D27" s="19"/>
      <c r="E27" s="19"/>
      <c r="F27" s="19"/>
    </row>
    <row r="28" spans="2:6" ht="17.25" customHeight="1" x14ac:dyDescent="0.25">
      <c r="B28" s="20" t="s">
        <v>34</v>
      </c>
      <c r="C28" s="21" t="s">
        <v>35</v>
      </c>
      <c r="D28" s="22"/>
      <c r="E28" s="22"/>
      <c r="F28" s="22"/>
    </row>
    <row r="29" spans="2:6" ht="17.25" customHeight="1" x14ac:dyDescent="0.25">
      <c r="B29" s="20" t="s">
        <v>36</v>
      </c>
      <c r="C29" s="97" t="s">
        <v>37</v>
      </c>
      <c r="D29" s="97"/>
      <c r="E29" s="97"/>
      <c r="F29" s="97"/>
    </row>
    <row r="30" spans="2:6" ht="17.25" customHeight="1" x14ac:dyDescent="0.25">
      <c r="B30" s="20" t="s">
        <v>38</v>
      </c>
      <c r="C30" s="21" t="s">
        <v>39</v>
      </c>
    </row>
    <row r="31" spans="2:6" ht="17.25" customHeight="1" x14ac:dyDescent="0.25">
      <c r="B31" s="20" t="s">
        <v>40</v>
      </c>
      <c r="C31" s="21" t="s">
        <v>41</v>
      </c>
    </row>
    <row r="32" spans="2:6" ht="17.25" customHeight="1" x14ac:dyDescent="0.25">
      <c r="B32" s="20" t="s">
        <v>42</v>
      </c>
      <c r="C32" s="21" t="s">
        <v>43</v>
      </c>
    </row>
    <row r="33" spans="2:6" ht="17.25" customHeight="1" x14ac:dyDescent="0.25">
      <c r="B33" s="20" t="s">
        <v>44</v>
      </c>
      <c r="C33" s="21" t="s">
        <v>45</v>
      </c>
    </row>
    <row r="34" spans="2:6" ht="17.25" customHeight="1" x14ac:dyDescent="0.25">
      <c r="B34" s="20" t="s">
        <v>46</v>
      </c>
      <c r="C34" s="21" t="s">
        <v>47</v>
      </c>
    </row>
    <row r="35" spans="2:6" ht="17.25" customHeight="1" x14ac:dyDescent="0.25">
      <c r="B35" s="20" t="s">
        <v>48</v>
      </c>
      <c r="C35" s="23" t="s">
        <v>49</v>
      </c>
    </row>
    <row r="36" spans="2:6" ht="30.75" customHeight="1" x14ac:dyDescent="0.25">
      <c r="B36" s="96" t="s">
        <v>50</v>
      </c>
      <c r="C36" s="99" t="s">
        <v>51</v>
      </c>
      <c r="D36" s="99"/>
      <c r="E36" s="99"/>
      <c r="F36" s="99"/>
    </row>
    <row r="37" spans="2:6" ht="17.25" customHeight="1" x14ac:dyDescent="0.25">
      <c r="B37" s="20" t="s">
        <v>293</v>
      </c>
      <c r="C37" s="21" t="s">
        <v>282</v>
      </c>
      <c r="D37" s="22"/>
      <c r="E37" s="22"/>
      <c r="F37" s="22"/>
    </row>
    <row r="38" spans="2:6" ht="17.25" customHeight="1" x14ac:dyDescent="0.25">
      <c r="B38" s="20" t="s">
        <v>294</v>
      </c>
      <c r="C38" s="21" t="s">
        <v>295</v>
      </c>
      <c r="D38" s="22"/>
      <c r="E38" s="22"/>
      <c r="F38" s="22"/>
    </row>
    <row r="39" spans="2:6" ht="34.5" customHeight="1" x14ac:dyDescent="0.25">
      <c r="B39" s="96" t="s">
        <v>296</v>
      </c>
      <c r="C39" s="99" t="s">
        <v>289</v>
      </c>
      <c r="D39" s="99"/>
      <c r="E39" s="99"/>
      <c r="F39" s="99"/>
    </row>
    <row r="40" spans="2:6" x14ac:dyDescent="0.25"/>
  </sheetData>
  <mergeCells count="18">
    <mergeCell ref="C15:F15"/>
    <mergeCell ref="B7:F8"/>
    <mergeCell ref="C11:F11"/>
    <mergeCell ref="C12:F12"/>
    <mergeCell ref="C13:F13"/>
    <mergeCell ref="C14:F14"/>
    <mergeCell ref="C39:F39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9:F29"/>
    <mergeCell ref="C36:F36"/>
  </mergeCells>
  <hyperlinks>
    <hyperlink ref="C10" location="Indicadores_Metas!A1" display="Indicadores" xr:uid="{E0196548-6D73-44E6-8E7A-513AD6E78AE5}"/>
    <hyperlink ref="C24:F24" location="Meta_Demandas!A1" display="Demandas" xr:uid="{0428B596-CFCE-4932-B220-468C3883145F}"/>
    <hyperlink ref="C27" location="Obras!A1" display="Obras" xr:uid="{9E65611C-0F83-43FC-BAFE-D3E642C5BC69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G19"/>
  <sheetViews>
    <sheetView showGridLines="0" workbookViewId="0">
      <selection activeCell="B10" sqref="B10:F18"/>
    </sheetView>
  </sheetViews>
  <sheetFormatPr defaultColWidth="0" defaultRowHeight="15" customHeight="1" zeroHeight="1" x14ac:dyDescent="0.25"/>
  <cols>
    <col min="1" max="1" width="9.140625" style="24" customWidth="1"/>
    <col min="2" max="2" width="22.85546875" style="24" customWidth="1"/>
    <col min="3" max="3" width="13" style="24" customWidth="1"/>
    <col min="4" max="4" width="39.7109375" style="24" customWidth="1"/>
    <col min="5" max="5" width="28.85546875" style="24" customWidth="1"/>
    <col min="6" max="6" width="22.28515625" style="24" customWidth="1"/>
    <col min="7" max="7" width="9.140625" style="24" customWidth="1"/>
    <col min="8" max="16384" width="9.140625" style="24" hidden="1"/>
  </cols>
  <sheetData>
    <row r="1" spans="2:6" x14ac:dyDescent="0.25"/>
    <row r="2" spans="2:6" x14ac:dyDescent="0.25"/>
    <row r="3" spans="2:6" x14ac:dyDescent="0.25"/>
    <row r="4" spans="2:6" x14ac:dyDescent="0.25"/>
    <row r="5" spans="2:6" x14ac:dyDescent="0.25"/>
    <row r="6" spans="2:6" x14ac:dyDescent="0.25"/>
    <row r="7" spans="2:6" x14ac:dyDescent="0.25"/>
    <row r="8" spans="2:6" x14ac:dyDescent="0.25"/>
    <row r="9" spans="2:6" x14ac:dyDescent="0.25"/>
    <row r="10" spans="2:6" x14ac:dyDescent="0.25">
      <c r="B10" s="107" t="s">
        <v>52</v>
      </c>
      <c r="C10" s="108"/>
      <c r="D10" s="108"/>
      <c r="E10" s="108"/>
      <c r="F10" s="109"/>
    </row>
    <row r="11" spans="2:6" x14ac:dyDescent="0.25">
      <c r="B11" s="110"/>
      <c r="C11" s="111"/>
      <c r="D11" s="111"/>
      <c r="E11" s="111"/>
      <c r="F11" s="112"/>
    </row>
    <row r="12" spans="2:6" x14ac:dyDescent="0.25">
      <c r="B12" s="110"/>
      <c r="C12" s="111"/>
      <c r="D12" s="111"/>
      <c r="E12" s="111"/>
      <c r="F12" s="112"/>
    </row>
    <row r="13" spans="2:6" x14ac:dyDescent="0.25">
      <c r="B13" s="110"/>
      <c r="C13" s="111"/>
      <c r="D13" s="111"/>
      <c r="E13" s="111"/>
      <c r="F13" s="112"/>
    </row>
    <row r="14" spans="2:6" x14ac:dyDescent="0.25">
      <c r="B14" s="110"/>
      <c r="C14" s="111"/>
      <c r="D14" s="111"/>
      <c r="E14" s="111"/>
      <c r="F14" s="112"/>
    </row>
    <row r="15" spans="2:6" x14ac:dyDescent="0.25">
      <c r="B15" s="110"/>
      <c r="C15" s="111"/>
      <c r="D15" s="111"/>
      <c r="E15" s="111"/>
      <c r="F15" s="112"/>
    </row>
    <row r="16" spans="2:6" x14ac:dyDescent="0.25">
      <c r="B16" s="110"/>
      <c r="C16" s="111"/>
      <c r="D16" s="111"/>
      <c r="E16" s="111"/>
      <c r="F16" s="112"/>
    </row>
    <row r="17" spans="2:6" x14ac:dyDescent="0.25">
      <c r="B17" s="110"/>
      <c r="C17" s="111"/>
      <c r="D17" s="111"/>
      <c r="E17" s="111"/>
      <c r="F17" s="112"/>
    </row>
    <row r="18" spans="2:6" x14ac:dyDescent="0.25">
      <c r="B18" s="113"/>
      <c r="C18" s="114"/>
      <c r="D18" s="114"/>
      <c r="E18" s="114"/>
      <c r="F18" s="115"/>
    </row>
    <row r="19" spans="2:6" x14ac:dyDescent="0.25"/>
  </sheetData>
  <mergeCells count="1">
    <mergeCell ref="B10:F1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G16"/>
  <sheetViews>
    <sheetView showGridLines="0" zoomScaleNormal="100" workbookViewId="0">
      <selection activeCell="A2" sqref="A2"/>
    </sheetView>
  </sheetViews>
  <sheetFormatPr defaultRowHeight="15" x14ac:dyDescent="0.25"/>
  <cols>
    <col min="1" max="1" width="5" style="3" customWidth="1"/>
    <col min="2" max="2" width="5" style="11" customWidth="1"/>
    <col min="3" max="3" width="53.28515625" style="11" customWidth="1"/>
    <col min="4" max="5" width="32.42578125" style="11" customWidth="1"/>
    <col min="6" max="6" width="31.28515625" style="11" customWidth="1"/>
    <col min="7" max="7" width="20.7109375" style="11" customWidth="1"/>
    <col min="8" max="14" width="18" style="11" customWidth="1"/>
    <col min="15" max="15" width="23.28515625" style="11" customWidth="1"/>
    <col min="16" max="16" width="32.42578125" style="11" customWidth="1"/>
    <col min="17" max="17" width="24" style="11" customWidth="1"/>
    <col min="18" max="18" width="48.42578125" style="11" customWidth="1"/>
    <col min="19" max="19" width="32.42578125" style="11" customWidth="1"/>
    <col min="20" max="20" width="28.85546875" style="11" customWidth="1"/>
    <col min="21" max="21" width="23.42578125" style="11" customWidth="1"/>
    <col min="22" max="22" width="32.42578125" style="11" customWidth="1"/>
    <col min="23" max="1021" width="9.140625" style="3" customWidth="1"/>
  </cols>
  <sheetData>
    <row r="1" spans="1:22" x14ac:dyDescent="0.25">
      <c r="A1" s="2"/>
    </row>
    <row r="2" spans="1:22" ht="25.5" x14ac:dyDescent="0.25">
      <c r="B2" s="26" t="s">
        <v>53</v>
      </c>
      <c r="C2" s="26" t="s">
        <v>54</v>
      </c>
      <c r="D2" s="26" t="s">
        <v>55</v>
      </c>
      <c r="E2" s="26" t="s">
        <v>56</v>
      </c>
      <c r="F2" s="26" t="s">
        <v>57</v>
      </c>
      <c r="G2" s="26" t="s">
        <v>58</v>
      </c>
      <c r="H2" s="27" t="s">
        <v>59</v>
      </c>
      <c r="I2" s="28" t="s">
        <v>60</v>
      </c>
      <c r="J2" s="28" t="s">
        <v>62</v>
      </c>
      <c r="K2" s="28" t="s">
        <v>64</v>
      </c>
      <c r="L2" s="28" t="s">
        <v>65</v>
      </c>
      <c r="M2" s="28" t="s">
        <v>66</v>
      </c>
      <c r="N2" s="28" t="s">
        <v>67</v>
      </c>
      <c r="O2" s="26" t="s">
        <v>68</v>
      </c>
      <c r="P2" s="26" t="s">
        <v>69</v>
      </c>
      <c r="Q2" s="30" t="s">
        <v>70</v>
      </c>
      <c r="R2" s="26" t="s">
        <v>71</v>
      </c>
      <c r="S2" s="26" t="s">
        <v>72</v>
      </c>
      <c r="T2" s="26" t="s">
        <v>73</v>
      </c>
      <c r="U2" s="26" t="s">
        <v>74</v>
      </c>
      <c r="V2" s="26" t="s">
        <v>75</v>
      </c>
    </row>
    <row r="3" spans="1:22" ht="51" x14ac:dyDescent="0.25">
      <c r="B3" s="31" t="s">
        <v>2</v>
      </c>
      <c r="C3" s="32" t="s">
        <v>76</v>
      </c>
      <c r="D3" s="32" t="s">
        <v>77</v>
      </c>
      <c r="E3" s="32" t="s">
        <v>78</v>
      </c>
      <c r="F3" s="32" t="s">
        <v>79</v>
      </c>
      <c r="G3" s="32" t="s">
        <v>80</v>
      </c>
      <c r="H3" s="33" t="s">
        <v>81</v>
      </c>
      <c r="I3" s="33">
        <v>1602.85</v>
      </c>
      <c r="J3" s="33">
        <f>5268.4+2383.34</f>
        <v>7651.74</v>
      </c>
      <c r="K3" s="33">
        <v>4000</v>
      </c>
      <c r="L3" s="33">
        <v>4000</v>
      </c>
      <c r="M3" s="33">
        <v>4000</v>
      </c>
      <c r="N3" s="33">
        <v>4000</v>
      </c>
      <c r="O3" s="32" t="s">
        <v>84</v>
      </c>
      <c r="P3" s="34" t="s">
        <v>85</v>
      </c>
      <c r="Q3" s="32" t="s">
        <v>86</v>
      </c>
      <c r="R3" s="32" t="s">
        <v>87</v>
      </c>
      <c r="S3" s="32" t="s">
        <v>88</v>
      </c>
      <c r="T3" s="32" t="s">
        <v>89</v>
      </c>
      <c r="U3" s="32" t="s">
        <v>90</v>
      </c>
      <c r="V3" s="32" t="s">
        <v>91</v>
      </c>
    </row>
    <row r="4" spans="1:22" ht="51" x14ac:dyDescent="0.25">
      <c r="B4" s="31" t="s">
        <v>4</v>
      </c>
      <c r="C4" s="32" t="s">
        <v>76</v>
      </c>
      <c r="D4" s="32" t="s">
        <v>92</v>
      </c>
      <c r="E4" s="32" t="s">
        <v>93</v>
      </c>
      <c r="F4" s="32" t="s">
        <v>94</v>
      </c>
      <c r="G4" s="32" t="s">
        <v>95</v>
      </c>
      <c r="H4" s="32">
        <v>46.97</v>
      </c>
      <c r="I4" s="33">
        <f>H4*1.12</f>
        <v>52.606400000000001</v>
      </c>
      <c r="J4" s="33">
        <f>I4*1.04</f>
        <v>54.710656</v>
      </c>
      <c r="K4" s="33">
        <f>J4*1.04</f>
        <v>56.899082240000006</v>
      </c>
      <c r="L4" s="33">
        <f>K4*1.04</f>
        <v>59.175045529600006</v>
      </c>
      <c r="M4" s="33">
        <f>L4*1.04</f>
        <v>61.54204735078401</v>
      </c>
      <c r="N4" s="33">
        <f t="shared" ref="N4" si="0">M4*1.04</f>
        <v>64.003729244815375</v>
      </c>
      <c r="O4" s="32" t="s">
        <v>84</v>
      </c>
      <c r="P4" s="34" t="s">
        <v>85</v>
      </c>
      <c r="Q4" s="32" t="s">
        <v>96</v>
      </c>
      <c r="R4" s="32" t="s">
        <v>87</v>
      </c>
      <c r="S4" s="32" t="s">
        <v>88</v>
      </c>
      <c r="T4" s="32" t="s">
        <v>97</v>
      </c>
      <c r="U4" s="32" t="s">
        <v>90</v>
      </c>
      <c r="V4" s="32" t="s">
        <v>91</v>
      </c>
    </row>
    <row r="5" spans="1:22" ht="89.25" x14ac:dyDescent="0.25">
      <c r="B5" s="31" t="s">
        <v>6</v>
      </c>
      <c r="C5" s="32" t="s">
        <v>76</v>
      </c>
      <c r="D5" s="35" t="s">
        <v>7</v>
      </c>
      <c r="E5" s="32" t="s">
        <v>98</v>
      </c>
      <c r="F5" s="32" t="s">
        <v>99</v>
      </c>
      <c r="G5" s="32" t="s">
        <v>80</v>
      </c>
      <c r="H5" s="32">
        <v>53481.63</v>
      </c>
      <c r="I5" s="36">
        <v>59739.45</v>
      </c>
      <c r="J5" s="32">
        <v>72710.350000000006</v>
      </c>
      <c r="K5" s="33">
        <f>J5*1.2</f>
        <v>87252.42</v>
      </c>
      <c r="L5" s="33">
        <f>K5*1.2</f>
        <v>104702.90399999999</v>
      </c>
      <c r="M5" s="33">
        <f>L5*1.2</f>
        <v>125643.48479999999</v>
      </c>
      <c r="N5" s="33">
        <f t="shared" ref="N5" si="1">M5*1.2</f>
        <v>150772.18175999998</v>
      </c>
      <c r="O5" s="32" t="s">
        <v>100</v>
      </c>
      <c r="P5" s="34" t="s">
        <v>85</v>
      </c>
      <c r="Q5" s="32" t="s">
        <v>96</v>
      </c>
      <c r="R5" s="32" t="s">
        <v>87</v>
      </c>
      <c r="S5" s="32" t="s">
        <v>88</v>
      </c>
      <c r="T5" s="32" t="s">
        <v>97</v>
      </c>
      <c r="U5" s="32" t="s">
        <v>90</v>
      </c>
      <c r="V5" s="32" t="s">
        <v>91</v>
      </c>
    </row>
    <row r="6" spans="1:22" ht="51" x14ac:dyDescent="0.25">
      <c r="B6" s="31" t="s">
        <v>8</v>
      </c>
      <c r="C6" s="32" t="s">
        <v>76</v>
      </c>
      <c r="D6" s="32" t="s">
        <v>101</v>
      </c>
      <c r="E6" s="32" t="s">
        <v>102</v>
      </c>
      <c r="F6" s="32" t="s">
        <v>103</v>
      </c>
      <c r="G6" s="32" t="s">
        <v>104</v>
      </c>
      <c r="H6" s="37">
        <v>0.56999999999999995</v>
      </c>
      <c r="I6" s="37">
        <v>0.56999999999999995</v>
      </c>
      <c r="J6" s="37">
        <v>1</v>
      </c>
      <c r="K6" s="37">
        <v>1</v>
      </c>
      <c r="L6" s="37">
        <v>1</v>
      </c>
      <c r="M6" s="37">
        <v>1</v>
      </c>
      <c r="N6" s="37">
        <v>1</v>
      </c>
      <c r="O6" s="32" t="s">
        <v>100</v>
      </c>
      <c r="P6" s="34" t="s">
        <v>105</v>
      </c>
      <c r="Q6" s="32" t="s">
        <v>96</v>
      </c>
      <c r="R6" s="32" t="s">
        <v>87</v>
      </c>
      <c r="S6" s="32" t="s">
        <v>106</v>
      </c>
      <c r="T6" s="32" t="s">
        <v>107</v>
      </c>
      <c r="U6" s="32" t="s">
        <v>90</v>
      </c>
      <c r="V6" s="32" t="s">
        <v>91</v>
      </c>
    </row>
    <row r="7" spans="1:22" s="3" customFormat="1" ht="51" x14ac:dyDescent="0.25">
      <c r="B7" s="31" t="s">
        <v>10</v>
      </c>
      <c r="C7" s="32" t="s">
        <v>76</v>
      </c>
      <c r="D7" s="32" t="s">
        <v>11</v>
      </c>
      <c r="E7" s="32" t="s">
        <v>108</v>
      </c>
      <c r="F7" s="32" t="s">
        <v>109</v>
      </c>
      <c r="G7" s="32" t="s">
        <v>104</v>
      </c>
      <c r="H7" s="38">
        <v>100</v>
      </c>
      <c r="I7" s="38">
        <v>100</v>
      </c>
      <c r="J7" s="38">
        <v>100</v>
      </c>
      <c r="K7" s="38">
        <v>100</v>
      </c>
      <c r="L7" s="38">
        <v>100</v>
      </c>
      <c r="M7" s="38">
        <v>100</v>
      </c>
      <c r="N7" s="38">
        <v>100</v>
      </c>
      <c r="O7" s="32" t="s">
        <v>100</v>
      </c>
      <c r="P7" s="34" t="s">
        <v>105</v>
      </c>
      <c r="Q7" s="32" t="s">
        <v>96</v>
      </c>
      <c r="R7" s="32" t="s">
        <v>110</v>
      </c>
      <c r="S7" s="32" t="s">
        <v>106</v>
      </c>
      <c r="T7" s="32" t="s">
        <v>107</v>
      </c>
      <c r="U7" s="32" t="s">
        <v>90</v>
      </c>
      <c r="V7" s="32" t="s">
        <v>91</v>
      </c>
    </row>
    <row r="8" spans="1:22" ht="51" x14ac:dyDescent="0.25">
      <c r="B8" s="31" t="s">
        <v>12</v>
      </c>
      <c r="C8" s="32" t="s">
        <v>76</v>
      </c>
      <c r="D8" s="32" t="s">
        <v>13</v>
      </c>
      <c r="E8" s="32" t="s">
        <v>111</v>
      </c>
      <c r="F8" s="32" t="s">
        <v>112</v>
      </c>
      <c r="G8" s="32" t="s">
        <v>113</v>
      </c>
      <c r="H8" s="33">
        <v>372.37</v>
      </c>
      <c r="I8" s="33">
        <f>(H8*1.15)</f>
        <v>428.22549999999995</v>
      </c>
      <c r="J8" s="33">
        <f t="shared" ref="J8:M10" si="2">I8*1.07</f>
        <v>458.20128499999998</v>
      </c>
      <c r="K8" s="33">
        <f t="shared" si="2"/>
        <v>490.27537495000001</v>
      </c>
      <c r="L8" s="33">
        <f t="shared" si="2"/>
        <v>524.59465119650008</v>
      </c>
      <c r="M8" s="33">
        <f t="shared" si="2"/>
        <v>561.31627678025507</v>
      </c>
      <c r="N8" s="33">
        <f t="shared" ref="N8:N10" si="3">M8*1.07</f>
        <v>600.608416154873</v>
      </c>
      <c r="O8" s="32" t="s">
        <v>84</v>
      </c>
      <c r="P8" s="34" t="s">
        <v>105</v>
      </c>
      <c r="Q8" s="32" t="s">
        <v>96</v>
      </c>
      <c r="R8" s="32" t="s">
        <v>87</v>
      </c>
      <c r="S8" s="32" t="s">
        <v>114</v>
      </c>
      <c r="T8" s="32"/>
      <c r="U8" s="32" t="s">
        <v>90</v>
      </c>
      <c r="V8" s="32" t="s">
        <v>91</v>
      </c>
    </row>
    <row r="9" spans="1:22" ht="51" x14ac:dyDescent="0.25">
      <c r="B9" s="31" t="s">
        <v>14</v>
      </c>
      <c r="C9" s="32" t="s">
        <v>76</v>
      </c>
      <c r="D9" s="32" t="s">
        <v>115</v>
      </c>
      <c r="E9" s="32" t="s">
        <v>116</v>
      </c>
      <c r="F9" s="32" t="s">
        <v>117</v>
      </c>
      <c r="G9" s="32" t="s">
        <v>113</v>
      </c>
      <c r="H9" s="32">
        <v>233.21</v>
      </c>
      <c r="I9" s="33">
        <f>(H9*1.15)</f>
        <v>268.19149999999996</v>
      </c>
      <c r="J9" s="33">
        <f t="shared" si="2"/>
        <v>286.96490499999999</v>
      </c>
      <c r="K9" s="33">
        <f t="shared" si="2"/>
        <v>307.05244835000002</v>
      </c>
      <c r="L9" s="33">
        <f t="shared" si="2"/>
        <v>328.54611973450005</v>
      </c>
      <c r="M9" s="33">
        <f t="shared" si="2"/>
        <v>351.54434811591506</v>
      </c>
      <c r="N9" s="33">
        <f t="shared" si="3"/>
        <v>376.15245248402914</v>
      </c>
      <c r="O9" s="32" t="s">
        <v>84</v>
      </c>
      <c r="P9" s="34" t="s">
        <v>105</v>
      </c>
      <c r="Q9" s="32" t="s">
        <v>96</v>
      </c>
      <c r="R9" s="32" t="s">
        <v>87</v>
      </c>
      <c r="S9" s="32" t="s">
        <v>114</v>
      </c>
      <c r="T9" s="32"/>
      <c r="U9" s="32" t="s">
        <v>90</v>
      </c>
      <c r="V9" s="32" t="s">
        <v>91</v>
      </c>
    </row>
    <row r="10" spans="1:22" ht="51" x14ac:dyDescent="0.25">
      <c r="B10" s="31" t="s">
        <v>16</v>
      </c>
      <c r="C10" s="32" t="s">
        <v>76</v>
      </c>
      <c r="D10" s="32" t="s">
        <v>17</v>
      </c>
      <c r="E10" s="32" t="s">
        <v>118</v>
      </c>
      <c r="F10" s="32" t="s">
        <v>119</v>
      </c>
      <c r="G10" s="32" t="s">
        <v>113</v>
      </c>
      <c r="H10" s="32">
        <v>445.07</v>
      </c>
      <c r="I10" s="33">
        <f>(H10*1.15)</f>
        <v>511.83049999999997</v>
      </c>
      <c r="J10" s="33">
        <f t="shared" si="2"/>
        <v>547.658635</v>
      </c>
      <c r="K10" s="33">
        <f t="shared" si="2"/>
        <v>585.99473945</v>
      </c>
      <c r="L10" s="33">
        <f t="shared" si="2"/>
        <v>627.01437121150002</v>
      </c>
      <c r="M10" s="33">
        <f t="shared" si="2"/>
        <v>670.90537719630504</v>
      </c>
      <c r="N10" s="33">
        <f t="shared" si="3"/>
        <v>717.86875360004649</v>
      </c>
      <c r="O10" s="32" t="s">
        <v>84</v>
      </c>
      <c r="P10" s="34" t="s">
        <v>105</v>
      </c>
      <c r="Q10" s="32" t="s">
        <v>96</v>
      </c>
      <c r="R10" s="32" t="s">
        <v>87</v>
      </c>
      <c r="S10" s="32" t="s">
        <v>114</v>
      </c>
      <c r="T10" s="32"/>
      <c r="U10" s="32" t="s">
        <v>90</v>
      </c>
      <c r="V10" s="32" t="s">
        <v>91</v>
      </c>
    </row>
    <row r="11" spans="1:22" s="3" customFormat="1" ht="51" x14ac:dyDescent="0.25">
      <c r="B11" s="31" t="s">
        <v>18</v>
      </c>
      <c r="C11" s="32" t="s">
        <v>76</v>
      </c>
      <c r="D11" s="32" t="s">
        <v>120</v>
      </c>
      <c r="E11" s="32" t="s">
        <v>121</v>
      </c>
      <c r="F11" s="32" t="s">
        <v>122</v>
      </c>
      <c r="G11" s="32" t="s">
        <v>113</v>
      </c>
      <c r="H11" s="33">
        <v>5.83</v>
      </c>
      <c r="I11" s="33">
        <v>5.83</v>
      </c>
      <c r="J11" s="33">
        <v>5.83</v>
      </c>
      <c r="K11" s="33">
        <v>5.83</v>
      </c>
      <c r="L11" s="33">
        <v>5.83</v>
      </c>
      <c r="M11" s="33">
        <v>5.83</v>
      </c>
      <c r="N11" s="33">
        <v>5.83</v>
      </c>
      <c r="O11" s="32" t="s">
        <v>123</v>
      </c>
      <c r="P11" s="34" t="s">
        <v>105</v>
      </c>
      <c r="Q11" s="32" t="s">
        <v>96</v>
      </c>
      <c r="R11" s="32" t="s">
        <v>87</v>
      </c>
      <c r="S11" s="32" t="s">
        <v>124</v>
      </c>
      <c r="T11" s="32" t="s">
        <v>107</v>
      </c>
      <c r="U11" s="32" t="s">
        <v>90</v>
      </c>
      <c r="V11" s="32" t="s">
        <v>91</v>
      </c>
    </row>
    <row r="12" spans="1:22" s="3" customFormat="1" ht="51" x14ac:dyDescent="0.25">
      <c r="B12" s="31" t="s">
        <v>20</v>
      </c>
      <c r="C12" s="32" t="s">
        <v>76</v>
      </c>
      <c r="D12" s="32" t="s">
        <v>125</v>
      </c>
      <c r="E12" s="32" t="s">
        <v>126</v>
      </c>
      <c r="F12" s="32" t="s">
        <v>127</v>
      </c>
      <c r="G12" s="32" t="s">
        <v>113</v>
      </c>
      <c r="H12" s="33">
        <v>399.05</v>
      </c>
      <c r="I12" s="32">
        <v>399.05</v>
      </c>
      <c r="J12" s="32">
        <v>399.05</v>
      </c>
      <c r="K12" s="32">
        <v>399.05</v>
      </c>
      <c r="L12" s="32">
        <v>399.05</v>
      </c>
      <c r="M12" s="32">
        <v>399.05</v>
      </c>
      <c r="N12" s="32">
        <v>399.05</v>
      </c>
      <c r="O12" s="32" t="s">
        <v>123</v>
      </c>
      <c r="P12" s="34" t="s">
        <v>105</v>
      </c>
      <c r="Q12" s="32" t="s">
        <v>96</v>
      </c>
      <c r="R12" s="32" t="s">
        <v>87</v>
      </c>
      <c r="S12" s="32" t="s">
        <v>128</v>
      </c>
      <c r="T12" s="32" t="s">
        <v>107</v>
      </c>
      <c r="U12" s="32" t="s">
        <v>90</v>
      </c>
      <c r="V12" s="32" t="s">
        <v>91</v>
      </c>
    </row>
    <row r="13" spans="1:22" s="10" customFormat="1" ht="51" x14ac:dyDescent="0.25">
      <c r="B13" s="31" t="s">
        <v>22</v>
      </c>
      <c r="C13" s="35" t="s">
        <v>76</v>
      </c>
      <c r="D13" s="35" t="s">
        <v>129</v>
      </c>
      <c r="E13" s="35" t="s">
        <v>130</v>
      </c>
      <c r="F13" s="35" t="s">
        <v>131</v>
      </c>
      <c r="G13" s="35" t="s">
        <v>113</v>
      </c>
      <c r="H13" s="39">
        <v>270.08999999999997</v>
      </c>
      <c r="I13" s="39">
        <f>H13*0.98</f>
        <v>264.68819999999999</v>
      </c>
      <c r="J13" s="39">
        <f>I13*0.98</f>
        <v>259.39443599999998</v>
      </c>
      <c r="K13" s="39">
        <f>J13*0.98</f>
        <v>254.20654727999997</v>
      </c>
      <c r="L13" s="39">
        <f>K13*0.98</f>
        <v>249.12241633439996</v>
      </c>
      <c r="M13" s="39">
        <f>L13*0.98</f>
        <v>244.13996800771196</v>
      </c>
      <c r="N13" s="39">
        <f t="shared" ref="N13" si="4">M13*0.98</f>
        <v>239.25716864755771</v>
      </c>
      <c r="O13" s="35" t="s">
        <v>123</v>
      </c>
      <c r="P13" s="35" t="s">
        <v>105</v>
      </c>
      <c r="Q13" s="35" t="s">
        <v>96</v>
      </c>
      <c r="R13" s="35" t="s">
        <v>87</v>
      </c>
      <c r="S13" s="35" t="s">
        <v>132</v>
      </c>
      <c r="T13" s="32" t="s">
        <v>107</v>
      </c>
      <c r="U13" s="35" t="s">
        <v>90</v>
      </c>
      <c r="V13" s="35" t="s">
        <v>91</v>
      </c>
    </row>
    <row r="14" spans="1:22" s="3" customFormat="1" ht="51" x14ac:dyDescent="0.25">
      <c r="B14" s="31" t="s">
        <v>24</v>
      </c>
      <c r="C14" s="32" t="s">
        <v>76</v>
      </c>
      <c r="D14" s="32" t="s">
        <v>133</v>
      </c>
      <c r="E14" s="32" t="s">
        <v>134</v>
      </c>
      <c r="F14" s="32" t="s">
        <v>135</v>
      </c>
      <c r="G14" s="32" t="s">
        <v>113</v>
      </c>
      <c r="H14" s="33">
        <f>'Indicadores_Metas Reprogramação'!H3</f>
        <v>301.08999999999997</v>
      </c>
      <c r="I14" s="33">
        <f>'Indicadores_Metas Reprogramação'!I3</f>
        <v>289.05</v>
      </c>
      <c r="J14" s="33">
        <f>'Indicadores_Metas Reprogramação'!K3</f>
        <v>277.48</v>
      </c>
      <c r="K14" s="33">
        <f>'Indicadores_Metas Reprogramação'!M3</f>
        <v>266.39</v>
      </c>
      <c r="L14" s="33">
        <f>'Indicadores_Metas Reprogramação'!N3</f>
        <v>255.73</v>
      </c>
      <c r="M14" s="33">
        <f>'Indicadores_Metas Reprogramação'!O3</f>
        <v>245.5</v>
      </c>
      <c r="N14" s="33">
        <f>'Indicadores_Metas Reprogramação'!P3</f>
        <v>235.68</v>
      </c>
      <c r="O14" s="32" t="s">
        <v>123</v>
      </c>
      <c r="P14" s="34" t="s">
        <v>105</v>
      </c>
      <c r="Q14" s="32" t="s">
        <v>96</v>
      </c>
      <c r="R14" s="32" t="s">
        <v>87</v>
      </c>
      <c r="S14" s="32" t="s">
        <v>132</v>
      </c>
      <c r="T14" s="32" t="s">
        <v>107</v>
      </c>
      <c r="U14" s="32" t="s">
        <v>90</v>
      </c>
      <c r="V14" s="32" t="s">
        <v>91</v>
      </c>
    </row>
    <row r="15" spans="1:22" s="3" customFormat="1" ht="63.75" x14ac:dyDescent="0.25">
      <c r="B15" s="31" t="s">
        <v>26</v>
      </c>
      <c r="C15" s="32" t="s">
        <v>76</v>
      </c>
      <c r="D15" s="32" t="s">
        <v>136</v>
      </c>
      <c r="E15" s="32" t="s">
        <v>137</v>
      </c>
      <c r="F15" s="32" t="s">
        <v>138</v>
      </c>
      <c r="G15" s="32" t="s">
        <v>113</v>
      </c>
      <c r="H15" s="33">
        <f>(149749.21+33763.04+30184.04+23090)/33511</f>
        <v>7.0659273074512852</v>
      </c>
      <c r="I15" s="33">
        <f t="shared" ref="I15" si="5">H15*1.02</f>
        <v>7.2072458536003108</v>
      </c>
      <c r="J15" s="33">
        <f>I15*1.02</f>
        <v>7.3513907706723174</v>
      </c>
      <c r="K15" s="33">
        <f>J15*1.02</f>
        <v>7.4984185860857639</v>
      </c>
      <c r="L15" s="33">
        <f>K15*1.02</f>
        <v>7.648386957807479</v>
      </c>
      <c r="M15" s="33">
        <f>L15*1.02</f>
        <v>7.8013546969636289</v>
      </c>
      <c r="N15" s="33">
        <f>M15*1.02</f>
        <v>7.9573817909029012</v>
      </c>
      <c r="O15" s="32" t="s">
        <v>100</v>
      </c>
      <c r="P15" s="34" t="s">
        <v>105</v>
      </c>
      <c r="Q15" s="32" t="s">
        <v>96</v>
      </c>
      <c r="R15" s="32" t="s">
        <v>87</v>
      </c>
      <c r="S15" s="32" t="s">
        <v>106</v>
      </c>
      <c r="T15" s="32" t="s">
        <v>107</v>
      </c>
      <c r="U15" s="32" t="s">
        <v>90</v>
      </c>
      <c r="V15" s="32" t="s">
        <v>91</v>
      </c>
    </row>
    <row r="16" spans="1:22" x14ac:dyDescent="0.25">
      <c r="B16" s="116" t="s">
        <v>139</v>
      </c>
      <c r="C16" s="116"/>
    </row>
  </sheetData>
  <sheetProtection algorithmName="SHA-512" hashValue="sgM7201DDsGJHIVVdg0OAR4zQJZ8kqsDqnk1+7buqabj+dD14t+Cu6lYPmRO25HFfyI8R8IG2ekC2Zs9FUwL6w==" saltValue="ufU67A7vteiBc3qoto7CSQ==" spinCount="100000" sheet="1" objects="1" scenarios="1"/>
  <mergeCells count="1">
    <mergeCell ref="B16:C1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200-000002000000}">
          <x14:formula1>
            <xm:f>Listas_suspensas!$D$2:$D$4</xm:f>
          </x14:formula1>
          <x14:formula2>
            <xm:f>0</xm:f>
          </x14:formula2>
          <xm:sqref>R3:R15</xm:sqref>
        </x14:dataValidation>
        <x14:dataValidation type="list" allowBlank="1" showInputMessage="1" showErrorMessage="1" xr:uid="{00000000-0002-0000-0200-000003000000}">
          <x14:formula1>
            <xm:f>Listas_suspensas!$B$6:$B$22</xm:f>
          </x14:formula1>
          <x14:formula2>
            <xm:f>0</xm:f>
          </x14:formula2>
          <xm:sqref>S13:S14</xm:sqref>
        </x14:dataValidation>
        <x14:dataValidation type="list" allowBlank="1" showInputMessage="1" showErrorMessage="1" xr:uid="{00000000-0002-0000-0200-000004000000}">
          <x14:formula1>
            <xm:f>Listas_suspensas!$D$6:$D$10</xm:f>
          </x14:formula1>
          <x14:formula2>
            <xm:f>0</xm:f>
          </x14:formula2>
          <xm:sqref>T3</xm:sqref>
        </x14:dataValidation>
        <x14:dataValidation type="list" allowBlank="1" showInputMessage="1" showErrorMessage="1" xr:uid="{00000000-0002-0000-0200-000005000000}">
          <x14:formula1>
            <xm:f>Listas_suspensas!$U$2</xm:f>
          </x14:formula1>
          <x14:formula2>
            <xm:f>0</xm:f>
          </x14:formula2>
          <xm:sqref>F3</xm:sqref>
        </x14:dataValidation>
        <x14:dataValidation type="list" allowBlank="1" showInputMessage="1" showErrorMessage="1" xr:uid="{00000000-0002-0000-0200-000006000000}">
          <x14:formula1>
            <xm:f>Listas_suspensas!$U$3</xm:f>
          </x14:formula1>
          <x14:formula2>
            <xm:f>0</xm:f>
          </x14:formula2>
          <xm:sqref>F4</xm:sqref>
        </x14:dataValidation>
        <x14:dataValidation type="list" allowBlank="1" showInputMessage="1" showErrorMessage="1" xr:uid="{00000000-0002-0000-0200-000007000000}">
          <x14:formula1>
            <xm:f>Listas_suspensas!$U$4:$U$5</xm:f>
          </x14:formula1>
          <x14:formula2>
            <xm:f>0</xm:f>
          </x14:formula2>
          <xm:sqref>F5</xm:sqref>
        </x14:dataValidation>
        <x14:dataValidation type="list" allowBlank="1" showInputMessage="1" showErrorMessage="1" xr:uid="{00000000-0002-0000-0200-000008000000}">
          <x14:formula1>
            <xm:f>Listas_suspensas!$U$6:$U$7</xm:f>
          </x14:formula1>
          <x14:formula2>
            <xm:f>0</xm:f>
          </x14:formula2>
          <xm:sqref>F6</xm:sqref>
        </x14:dataValidation>
        <x14:dataValidation type="list" allowBlank="1" showInputMessage="1" showErrorMessage="1" xr:uid="{00000000-0002-0000-0200-000009000000}">
          <x14:formula1>
            <xm:f>Listas_suspensas!$U$8:$U$9</xm:f>
          </x14:formula1>
          <x14:formula2>
            <xm:f>0</xm:f>
          </x14:formula2>
          <xm:sqref>F7</xm:sqref>
        </x14:dataValidation>
        <x14:dataValidation type="list" allowBlank="1" showInputMessage="1" showErrorMessage="1" xr:uid="{00000000-0002-0000-0200-00000A000000}">
          <x14:formula1>
            <xm:f>Listas_suspensas!$U$10</xm:f>
          </x14:formula1>
          <x14:formula2>
            <xm:f>0</xm:f>
          </x14:formula2>
          <xm:sqref>F8</xm:sqref>
        </x14:dataValidation>
        <x14:dataValidation type="list" allowBlank="1" showInputMessage="1" showErrorMessage="1" xr:uid="{00000000-0002-0000-0200-00000B000000}">
          <x14:formula1>
            <xm:f>Listas_suspensas!$U$11</xm:f>
          </x14:formula1>
          <x14:formula2>
            <xm:f>0</xm:f>
          </x14:formula2>
          <xm:sqref>F9</xm:sqref>
        </x14:dataValidation>
        <x14:dataValidation type="list" allowBlank="1" showInputMessage="1" showErrorMessage="1" xr:uid="{00000000-0002-0000-0200-00000C000000}">
          <x14:formula1>
            <xm:f>Listas_suspensas!$U$12</xm:f>
          </x14:formula1>
          <x14:formula2>
            <xm:f>0</xm:f>
          </x14:formula2>
          <xm:sqref>F10</xm:sqref>
        </x14:dataValidation>
        <x14:dataValidation type="list" allowBlank="1" showInputMessage="1" showErrorMessage="1" xr:uid="{00000000-0002-0000-0200-00000D000000}">
          <x14:formula1>
            <xm:f>Listas_suspensas!$U$13:$U$14</xm:f>
          </x14:formula1>
          <xm:sqref>F11</xm:sqref>
        </x14:dataValidation>
        <x14:dataValidation type="list" allowBlank="1" showInputMessage="1" showErrorMessage="1" xr:uid="{00000000-0002-0000-0200-00000E000000}">
          <x14:formula1>
            <xm:f>Listas_suspensas!$U$15:$U$16</xm:f>
          </x14:formula1>
          <x14:formula2>
            <xm:f>0</xm:f>
          </x14:formula2>
          <xm:sqref>F12</xm:sqref>
        </x14:dataValidation>
        <x14:dataValidation type="list" allowBlank="1" showInputMessage="1" showErrorMessage="1" xr:uid="{00000000-0002-0000-0200-00000F000000}">
          <x14:formula1>
            <xm:f>Listas_suspensas!$U$17:$U$18</xm:f>
          </x14:formula1>
          <x14:formula2>
            <xm:f>0</xm:f>
          </x14:formula2>
          <xm:sqref>F13</xm:sqref>
        </x14:dataValidation>
        <x14:dataValidation type="list" allowBlank="1" showInputMessage="1" showErrorMessage="1" xr:uid="{00000000-0002-0000-0200-000010000000}">
          <x14:formula1>
            <xm:f>Listas_suspensas!$U$19:$U$20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200-000011000000}">
          <x14:formula1>
            <xm:f>Listas_suspensas!$U$21:$U$22</xm:f>
          </x14:formula1>
          <x14:formula2>
            <xm:f>0</xm:f>
          </x14:formula2>
          <xm:sqref>F15</xm:sqref>
        </x14:dataValidation>
        <x14:dataValidation type="list" allowBlank="1" showInputMessage="1" showErrorMessage="1" xr:uid="{00000000-0002-0000-0200-000012000000}">
          <x14:formula1>
            <xm:f>Listas_suspensas!$S$28:$S$30</xm:f>
          </x14:formula1>
          <x14:formula2>
            <xm:f>0</xm:f>
          </x14:formula2>
          <xm:sqref>Q3:Q15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0D84-56EF-4B38-AB55-3EB199DDB0D5}">
  <dimension ref="A1:AMI4"/>
  <sheetViews>
    <sheetView showGridLines="0" topLeftCell="G1" zoomScaleNormal="100" workbookViewId="0">
      <selection activeCell="C4" sqref="C4"/>
    </sheetView>
  </sheetViews>
  <sheetFormatPr defaultRowHeight="15" x14ac:dyDescent="0.25"/>
  <cols>
    <col min="1" max="1" width="5" style="3" customWidth="1"/>
    <col min="2" max="2" width="5" style="11" customWidth="1"/>
    <col min="3" max="3" width="53.28515625" style="11" customWidth="1"/>
    <col min="4" max="5" width="32.42578125" style="11" customWidth="1"/>
    <col min="6" max="6" width="31.28515625" style="11" customWidth="1"/>
    <col min="7" max="7" width="20.7109375" style="11" customWidth="1"/>
    <col min="8" max="16" width="18" style="11" customWidth="1"/>
    <col min="17" max="17" width="23.28515625" style="11" customWidth="1"/>
    <col min="18" max="18" width="32.42578125" style="11" customWidth="1"/>
    <col min="19" max="19" width="24" style="11" customWidth="1"/>
    <col min="20" max="20" width="48.42578125" style="11" customWidth="1"/>
    <col min="21" max="21" width="32.42578125" style="11" customWidth="1"/>
    <col min="22" max="22" width="28.85546875" style="11" customWidth="1"/>
    <col min="23" max="23" width="23.42578125" style="11" customWidth="1"/>
    <col min="24" max="24" width="32.42578125" style="11" customWidth="1"/>
    <col min="25" max="1023" width="9.140625" style="3" customWidth="1"/>
  </cols>
  <sheetData>
    <row r="1" spans="1:24" x14ac:dyDescent="0.25">
      <c r="A1" s="2"/>
    </row>
    <row r="2" spans="1:24" ht="25.5" x14ac:dyDescent="0.25">
      <c r="B2" s="26" t="s">
        <v>53</v>
      </c>
      <c r="C2" s="26" t="s">
        <v>54</v>
      </c>
      <c r="D2" s="26" t="s">
        <v>55</v>
      </c>
      <c r="E2" s="26" t="s">
        <v>56</v>
      </c>
      <c r="F2" s="26" t="s">
        <v>57</v>
      </c>
      <c r="G2" s="26" t="s">
        <v>58</v>
      </c>
      <c r="H2" s="27" t="s">
        <v>59</v>
      </c>
      <c r="I2" s="28" t="s">
        <v>60</v>
      </c>
      <c r="J2" s="29" t="s">
        <v>61</v>
      </c>
      <c r="K2" s="28" t="s">
        <v>62</v>
      </c>
      <c r="L2" s="29" t="s">
        <v>63</v>
      </c>
      <c r="M2" s="28" t="s">
        <v>64</v>
      </c>
      <c r="N2" s="28" t="s">
        <v>65</v>
      </c>
      <c r="O2" s="28" t="s">
        <v>66</v>
      </c>
      <c r="P2" s="28" t="s">
        <v>67</v>
      </c>
      <c r="Q2" s="26" t="s">
        <v>68</v>
      </c>
      <c r="R2" s="26" t="s">
        <v>69</v>
      </c>
      <c r="S2" s="30" t="s">
        <v>70</v>
      </c>
      <c r="T2" s="26" t="s">
        <v>71</v>
      </c>
      <c r="U2" s="26" t="s">
        <v>72</v>
      </c>
      <c r="V2" s="26" t="s">
        <v>73</v>
      </c>
      <c r="W2" s="26" t="s">
        <v>74</v>
      </c>
      <c r="X2" s="26" t="s">
        <v>75</v>
      </c>
    </row>
    <row r="3" spans="1:24" s="3" customFormat="1" ht="65.25" customHeight="1" x14ac:dyDescent="0.25">
      <c r="B3" s="31" t="s">
        <v>24</v>
      </c>
      <c r="C3" s="32" t="s">
        <v>76</v>
      </c>
      <c r="D3" s="32" t="s">
        <v>133</v>
      </c>
      <c r="E3" s="32" t="s">
        <v>134</v>
      </c>
      <c r="F3" s="32" t="s">
        <v>135</v>
      </c>
      <c r="G3" s="32" t="s">
        <v>113</v>
      </c>
      <c r="H3" s="85">
        <v>301.08999999999997</v>
      </c>
      <c r="I3" s="85">
        <v>289.05</v>
      </c>
      <c r="J3" s="86">
        <v>204.39</v>
      </c>
      <c r="K3" s="85">
        <v>277.48</v>
      </c>
      <c r="L3" s="84"/>
      <c r="M3" s="85">
        <v>266.39</v>
      </c>
      <c r="N3" s="85">
        <v>255.73</v>
      </c>
      <c r="O3" s="85">
        <v>245.5</v>
      </c>
      <c r="P3" s="85">
        <v>235.68</v>
      </c>
      <c r="Q3" s="32" t="s">
        <v>123</v>
      </c>
      <c r="R3" s="34" t="s">
        <v>105</v>
      </c>
      <c r="S3" s="32" t="s">
        <v>96</v>
      </c>
      <c r="T3" s="32" t="s">
        <v>87</v>
      </c>
      <c r="U3" s="32" t="s">
        <v>132</v>
      </c>
      <c r="V3" s="32" t="s">
        <v>107</v>
      </c>
      <c r="W3" s="32" t="s">
        <v>90</v>
      </c>
      <c r="X3" s="32" t="s">
        <v>91</v>
      </c>
    </row>
    <row r="4" spans="1:24" ht="25.5" x14ac:dyDescent="0.25">
      <c r="C4" s="11" t="s">
        <v>278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1A843D5-90C3-4F14-8CA6-8E38C43CA121}">
          <x14:formula1>
            <xm:f>Listas_suspensas!$U$19:$U$20</xm:f>
          </x14:formula1>
          <x14:formula2>
            <xm:f>0</xm:f>
          </x14:formula2>
          <xm:sqref>F3</xm:sqref>
        </x14:dataValidation>
        <x14:dataValidation type="list" allowBlank="1" showInputMessage="1" showErrorMessage="1" xr:uid="{9AAE035A-4CB2-4A8E-BAF4-1FE5A2346AA8}">
          <x14:formula1>
            <xm:f>Listas_suspensas!$S$28:$S$30</xm:f>
          </x14:formula1>
          <x14:formula2>
            <xm:f>0</xm:f>
          </x14:formula2>
          <xm:sqref>S3</xm:sqref>
        </x14:dataValidation>
        <x14:dataValidation type="list" allowBlank="1" showInputMessage="1" showErrorMessage="1" xr:uid="{800ADCE1-69B4-4E9E-BFC1-47FF17A718EF}">
          <x14:formula1>
            <xm:f>Listas_suspensas!$B$6:$B$22</xm:f>
          </x14:formula1>
          <x14:formula2>
            <xm:f>0</xm:f>
          </x14:formula2>
          <xm:sqref>U3</xm:sqref>
        </x14:dataValidation>
        <x14:dataValidation type="list" allowBlank="1" showInputMessage="1" showErrorMessage="1" xr:uid="{21081945-9161-4F49-8979-2E956ED9F89F}">
          <x14:formula1>
            <xm:f>Listas_suspensas!$D$2:$D$4</xm:f>
          </x14:formula1>
          <x14:formula2>
            <xm:f>0</xm:f>
          </x14:formula2>
          <xm:sqref>T3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4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3.5703125" customWidth="1"/>
    <col min="2" max="2" width="10.5703125" style="12" customWidth="1"/>
    <col min="3" max="3" width="59.140625" style="12" customWidth="1"/>
    <col min="4" max="4" width="25.85546875" style="12" customWidth="1"/>
    <col min="5" max="5" width="58.42578125" style="12" customWidth="1"/>
    <col min="6" max="8" width="25.85546875" style="12" customWidth="1"/>
    <col min="9" max="9" width="17.5703125" style="12" customWidth="1"/>
    <col min="10" max="14" width="25.85546875" style="12" customWidth="1"/>
    <col min="15" max="15" width="29.85546875" style="12" customWidth="1"/>
    <col min="16" max="16" width="25" style="12" customWidth="1"/>
    <col min="17" max="17" width="46.85546875" style="12" customWidth="1"/>
    <col min="18" max="18" width="34.7109375" style="12" customWidth="1"/>
    <col min="19" max="19" width="28.7109375" style="12" customWidth="1"/>
    <col min="20" max="20" width="25.85546875" style="12" customWidth="1"/>
    <col min="21" max="1023" width="8.5703125" customWidth="1"/>
  </cols>
  <sheetData>
    <row r="1" spans="2:20" x14ac:dyDescent="0.25">
      <c r="B1" s="13"/>
    </row>
    <row r="2" spans="2:20" ht="104.25" customHeight="1" x14ac:dyDescent="0.25">
      <c r="B2" s="26" t="s">
        <v>53</v>
      </c>
      <c r="C2" s="26" t="s">
        <v>54</v>
      </c>
      <c r="D2" s="26" t="s">
        <v>140</v>
      </c>
      <c r="E2" s="26" t="s">
        <v>57</v>
      </c>
      <c r="F2" s="26" t="s">
        <v>58</v>
      </c>
      <c r="G2" s="28" t="s">
        <v>60</v>
      </c>
      <c r="H2" s="28" t="s">
        <v>62</v>
      </c>
      <c r="I2" s="28" t="s">
        <v>64</v>
      </c>
      <c r="J2" s="28" t="s">
        <v>65</v>
      </c>
      <c r="K2" s="28" t="s">
        <v>66</v>
      </c>
      <c r="L2" s="28" t="s">
        <v>67</v>
      </c>
      <c r="M2" s="40" t="s">
        <v>141</v>
      </c>
      <c r="N2" s="26" t="s">
        <v>142</v>
      </c>
      <c r="O2" s="26" t="s">
        <v>69</v>
      </c>
      <c r="P2" s="41" t="s">
        <v>70</v>
      </c>
      <c r="Q2" s="26" t="s">
        <v>71</v>
      </c>
      <c r="R2" s="26" t="s">
        <v>72</v>
      </c>
      <c r="S2" s="26" t="s">
        <v>73</v>
      </c>
      <c r="T2" s="26" t="s">
        <v>75</v>
      </c>
    </row>
    <row r="3" spans="2:20" ht="66" customHeight="1" x14ac:dyDescent="0.25">
      <c r="B3" s="42" t="s">
        <v>29</v>
      </c>
      <c r="C3" s="32" t="s">
        <v>76</v>
      </c>
      <c r="D3" s="32" t="s">
        <v>30</v>
      </c>
      <c r="E3" s="32" t="s">
        <v>143</v>
      </c>
      <c r="F3" s="32" t="s">
        <v>144</v>
      </c>
      <c r="G3" s="43">
        <f>10950000+700000</f>
        <v>11650000</v>
      </c>
      <c r="H3" s="43">
        <f>G3*1.05</f>
        <v>12232500</v>
      </c>
      <c r="I3" s="43">
        <f>H3*1.05</f>
        <v>12844125</v>
      </c>
      <c r="J3" s="43">
        <f>I3*1.05</f>
        <v>13486331.25</v>
      </c>
      <c r="K3" s="43">
        <f>J3*1.05</f>
        <v>14160647.8125</v>
      </c>
      <c r="L3" s="43">
        <f>K3*1.05</f>
        <v>14868680.203125</v>
      </c>
      <c r="M3" s="43">
        <f>SUM(G3:L3)</f>
        <v>79242284.265625</v>
      </c>
      <c r="N3" s="32">
        <v>1</v>
      </c>
      <c r="O3" s="34" t="s">
        <v>145</v>
      </c>
      <c r="P3" s="44" t="s">
        <v>96</v>
      </c>
      <c r="Q3" s="32" t="s">
        <v>87</v>
      </c>
      <c r="R3" s="32" t="s">
        <v>146</v>
      </c>
      <c r="S3" s="32" t="s">
        <v>89</v>
      </c>
      <c r="T3" s="32" t="s">
        <v>91</v>
      </c>
    </row>
    <row r="4" spans="2:20" ht="66" customHeight="1" x14ac:dyDescent="0.25">
      <c r="B4" s="45" t="s">
        <v>31</v>
      </c>
      <c r="C4" s="32" t="s">
        <v>76</v>
      </c>
      <c r="D4" s="32" t="s">
        <v>32</v>
      </c>
      <c r="E4" s="32" t="s">
        <v>147</v>
      </c>
      <c r="F4" s="32" t="s">
        <v>144</v>
      </c>
      <c r="G4" s="43">
        <v>3000000</v>
      </c>
      <c r="H4" s="43">
        <f>G4*1.05</f>
        <v>3150000</v>
      </c>
      <c r="I4" s="43">
        <f>H4*1.05</f>
        <v>3307500</v>
      </c>
      <c r="J4" s="43">
        <f>I4*1.05</f>
        <v>3472875</v>
      </c>
      <c r="K4" s="43">
        <f>J4*1.05</f>
        <v>3646518.75</v>
      </c>
      <c r="L4" s="43">
        <f t="shared" ref="L4" si="0">K4*1.05</f>
        <v>3828844.6875</v>
      </c>
      <c r="M4" s="43">
        <f>SUM(G4:L4)</f>
        <v>20405738.4375</v>
      </c>
      <c r="N4" s="32">
        <v>2</v>
      </c>
      <c r="O4" s="34" t="s">
        <v>145</v>
      </c>
      <c r="P4" s="44" t="s">
        <v>96</v>
      </c>
      <c r="Q4" s="32" t="s">
        <v>87</v>
      </c>
      <c r="R4" s="32" t="s">
        <v>146</v>
      </c>
      <c r="S4" s="32" t="s">
        <v>89</v>
      </c>
      <c r="T4" s="32" t="s">
        <v>91</v>
      </c>
    </row>
  </sheetData>
  <sheetProtection algorithmName="SHA-512" hashValue="7V21IVLuw8CG1F9N+AyeBrCc81hl52LKN5YxBY59W+pDflrVcnxrKoKwOKOFXn0isR8mvDDp4/rCbBDtwmV5Ig==" saltValue="glhWe+ty1btWgK6C6jL8gg==" spinCount="100000" sheet="1" objects="1" scenarios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2000000}">
          <x14:formula1>
            <xm:f>Listas_suspensas!$D$6:$D$10</xm:f>
          </x14:formula1>
          <x14:formula2>
            <xm:f>0</xm:f>
          </x14:formula2>
          <xm:sqref>S3:S4</xm:sqref>
        </x14:dataValidation>
        <x14:dataValidation type="list" allowBlank="1" showInputMessage="1" showErrorMessage="1" xr:uid="{00000000-0002-0000-0300-000003000000}">
          <x14:formula1>
            <xm:f>Listas_suspensas!$B$25:$B$41</xm:f>
          </x14:formula1>
          <x14:formula2>
            <xm:f>0</xm:f>
          </x14:formula2>
          <xm:sqref>O3:O4</xm:sqref>
        </x14:dataValidation>
        <x14:dataValidation type="list" allowBlank="1" showInputMessage="1" showErrorMessage="1" xr:uid="{00000000-0002-0000-0300-000004000000}">
          <x14:formula1>
            <xm:f>Listas_suspensas!$S$28:$S$30</xm:f>
          </x14:formula1>
          <x14:formula2>
            <xm:f>0</xm:f>
          </x14:formula2>
          <xm:sqref>P3:P4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6D7C-C05B-410D-9128-FABF2458ABB3}">
  <sheetPr>
    <pageSetUpPr fitToPage="1"/>
  </sheetPr>
  <dimension ref="B1:O29"/>
  <sheetViews>
    <sheetView showGridLines="0" topLeftCell="A5" zoomScale="90" zoomScaleNormal="90" workbookViewId="0">
      <selection activeCell="E26" sqref="E26:E27"/>
    </sheetView>
  </sheetViews>
  <sheetFormatPr defaultRowHeight="15" x14ac:dyDescent="0.25"/>
  <cols>
    <col min="1" max="1" width="3.7109375" style="6" customWidth="1"/>
    <col min="2" max="2" width="9.140625" style="87"/>
    <col min="3" max="3" width="14.42578125" style="87" customWidth="1"/>
    <col min="4" max="4" width="21.7109375" style="87" customWidth="1"/>
    <col min="5" max="5" width="33.7109375" style="11" customWidth="1"/>
    <col min="6" max="6" width="24.28515625" style="94" customWidth="1"/>
    <col min="7" max="8" width="18" style="88" bestFit="1" customWidth="1"/>
    <col min="9" max="9" width="18.140625" style="88" customWidth="1"/>
    <col min="10" max="10" width="17.85546875" style="88" customWidth="1"/>
    <col min="11" max="11" width="18.140625" style="88" customWidth="1"/>
    <col min="12" max="12" width="17.85546875" style="88" customWidth="1"/>
    <col min="13" max="13" width="22.7109375" style="88" customWidth="1"/>
    <col min="14" max="14" width="22.7109375" style="87" customWidth="1"/>
    <col min="15" max="15" width="20.5703125" style="87" customWidth="1"/>
    <col min="16" max="16384" width="9.140625" style="6"/>
  </cols>
  <sheetData>
    <row r="1" spans="2:15" x14ac:dyDescent="0.25">
      <c r="B1" s="13" t="s">
        <v>279</v>
      </c>
      <c r="E1" s="128" t="s">
        <v>280</v>
      </c>
      <c r="F1" s="128"/>
      <c r="G1" s="128"/>
      <c r="H1" s="128"/>
      <c r="I1" s="128"/>
      <c r="J1" s="128"/>
      <c r="K1" s="128"/>
    </row>
    <row r="3" spans="2:15" ht="25.5" x14ac:dyDescent="0.25">
      <c r="B3" s="26" t="s">
        <v>53</v>
      </c>
      <c r="C3" s="26" t="s">
        <v>142</v>
      </c>
      <c r="D3" s="26" t="s">
        <v>148</v>
      </c>
      <c r="E3" s="26" t="s">
        <v>149</v>
      </c>
      <c r="F3" s="26" t="s">
        <v>58</v>
      </c>
      <c r="G3" s="89">
        <v>2022</v>
      </c>
      <c r="H3" s="89">
        <v>2023</v>
      </c>
      <c r="I3" s="89">
        <v>2024</v>
      </c>
      <c r="J3" s="89">
        <v>2025</v>
      </c>
      <c r="K3" s="89">
        <v>2026</v>
      </c>
      <c r="L3" s="89">
        <v>2027</v>
      </c>
      <c r="M3" s="89" t="s">
        <v>150</v>
      </c>
      <c r="N3" s="26" t="s">
        <v>70</v>
      </c>
      <c r="O3" s="26" t="s">
        <v>75</v>
      </c>
    </row>
    <row r="4" spans="2:15" ht="38.25" customHeight="1" x14ac:dyDescent="0.25">
      <c r="B4" s="118" t="s">
        <v>34</v>
      </c>
      <c r="C4" s="118">
        <v>1</v>
      </c>
      <c r="D4" s="121" t="s">
        <v>151</v>
      </c>
      <c r="E4" s="121" t="s">
        <v>35</v>
      </c>
      <c r="F4" s="46" t="s">
        <v>144</v>
      </c>
      <c r="G4" s="90">
        <v>7000000</v>
      </c>
      <c r="H4" s="90">
        <v>8000000</v>
      </c>
      <c r="I4" s="90">
        <v>0</v>
      </c>
      <c r="J4" s="90">
        <v>0</v>
      </c>
      <c r="K4" s="90">
        <v>0</v>
      </c>
      <c r="L4" s="90">
        <v>0</v>
      </c>
      <c r="M4" s="90">
        <f t="shared" ref="M4:M19" si="0">SUM(G4:L4)</f>
        <v>15000000</v>
      </c>
      <c r="N4" s="126" t="s">
        <v>86</v>
      </c>
      <c r="O4" s="126" t="s">
        <v>91</v>
      </c>
    </row>
    <row r="5" spans="2:15" ht="38.25" customHeight="1" x14ac:dyDescent="0.25">
      <c r="B5" s="119"/>
      <c r="C5" s="119"/>
      <c r="D5" s="122"/>
      <c r="E5" s="122"/>
      <c r="F5" s="46" t="s">
        <v>152</v>
      </c>
      <c r="G5" s="91">
        <v>0.47</v>
      </c>
      <c r="H5" s="91">
        <v>0.53</v>
      </c>
      <c r="I5" s="91">
        <v>0</v>
      </c>
      <c r="J5" s="91">
        <v>0</v>
      </c>
      <c r="K5" s="91">
        <v>0</v>
      </c>
      <c r="L5" s="91">
        <v>0</v>
      </c>
      <c r="M5" s="91">
        <f t="shared" si="0"/>
        <v>1</v>
      </c>
      <c r="N5" s="127"/>
      <c r="O5" s="127"/>
    </row>
    <row r="6" spans="2:15" ht="38.25" customHeight="1" x14ac:dyDescent="0.25">
      <c r="B6" s="118" t="s">
        <v>36</v>
      </c>
      <c r="C6" s="118">
        <v>2</v>
      </c>
      <c r="D6" s="121" t="s">
        <v>153</v>
      </c>
      <c r="E6" s="121" t="s">
        <v>37</v>
      </c>
      <c r="F6" s="46" t="s">
        <v>144</v>
      </c>
      <c r="G6" s="90">
        <v>3000000</v>
      </c>
      <c r="H6" s="90">
        <v>2500000</v>
      </c>
      <c r="I6" s="90">
        <v>1800000</v>
      </c>
      <c r="J6" s="90">
        <v>0</v>
      </c>
      <c r="K6" s="90">
        <v>0</v>
      </c>
      <c r="L6" s="90">
        <v>0</v>
      </c>
      <c r="M6" s="90">
        <f t="shared" si="0"/>
        <v>7300000</v>
      </c>
      <c r="N6" s="126" t="s">
        <v>86</v>
      </c>
      <c r="O6" s="126" t="s">
        <v>91</v>
      </c>
    </row>
    <row r="7" spans="2:15" ht="38.25" customHeight="1" x14ac:dyDescent="0.25">
      <c r="B7" s="119"/>
      <c r="C7" s="119"/>
      <c r="D7" s="122"/>
      <c r="E7" s="122"/>
      <c r="F7" s="46" t="s">
        <v>152</v>
      </c>
      <c r="G7" s="91">
        <v>0.41</v>
      </c>
      <c r="H7" s="91">
        <v>0.34</v>
      </c>
      <c r="I7" s="91">
        <v>0.25</v>
      </c>
      <c r="J7" s="91">
        <v>0</v>
      </c>
      <c r="K7" s="91">
        <v>0</v>
      </c>
      <c r="L7" s="91">
        <v>0</v>
      </c>
      <c r="M7" s="91">
        <f t="shared" si="0"/>
        <v>1</v>
      </c>
      <c r="N7" s="127"/>
      <c r="O7" s="127"/>
    </row>
    <row r="8" spans="2:15" ht="38.25" customHeight="1" x14ac:dyDescent="0.25">
      <c r="B8" s="118" t="s">
        <v>38</v>
      </c>
      <c r="C8" s="118">
        <v>3</v>
      </c>
      <c r="D8" s="121" t="s">
        <v>154</v>
      </c>
      <c r="E8" s="121" t="s">
        <v>39</v>
      </c>
      <c r="F8" s="46" t="s">
        <v>144</v>
      </c>
      <c r="G8" s="90">
        <v>1000000</v>
      </c>
      <c r="H8" s="90">
        <v>1000000</v>
      </c>
      <c r="I8" s="90">
        <v>0</v>
      </c>
      <c r="J8" s="90">
        <v>0</v>
      </c>
      <c r="K8" s="90">
        <v>0</v>
      </c>
      <c r="L8" s="90">
        <v>0</v>
      </c>
      <c r="M8" s="90">
        <f t="shared" si="0"/>
        <v>2000000</v>
      </c>
      <c r="N8" s="126" t="s">
        <v>86</v>
      </c>
      <c r="O8" s="126" t="s">
        <v>91</v>
      </c>
    </row>
    <row r="9" spans="2:15" ht="38.25" customHeight="1" x14ac:dyDescent="0.25">
      <c r="B9" s="119"/>
      <c r="C9" s="119"/>
      <c r="D9" s="122"/>
      <c r="E9" s="122"/>
      <c r="F9" s="46" t="s">
        <v>152</v>
      </c>
      <c r="G9" s="91">
        <v>0.5</v>
      </c>
      <c r="H9" s="91">
        <v>0.5</v>
      </c>
      <c r="I9" s="91">
        <v>0</v>
      </c>
      <c r="J9" s="91">
        <v>0</v>
      </c>
      <c r="K9" s="91">
        <v>0</v>
      </c>
      <c r="L9" s="91">
        <v>0</v>
      </c>
      <c r="M9" s="91">
        <f t="shared" si="0"/>
        <v>1</v>
      </c>
      <c r="N9" s="127"/>
      <c r="O9" s="127"/>
    </row>
    <row r="10" spans="2:15" ht="38.25" customHeight="1" x14ac:dyDescent="0.25">
      <c r="B10" s="118" t="s">
        <v>40</v>
      </c>
      <c r="C10" s="118">
        <v>4</v>
      </c>
      <c r="D10" s="121" t="s">
        <v>154</v>
      </c>
      <c r="E10" s="121" t="s">
        <v>41</v>
      </c>
      <c r="F10" s="46" t="s">
        <v>144</v>
      </c>
      <c r="G10" s="90">
        <v>3000000</v>
      </c>
      <c r="H10" s="90">
        <v>3000000</v>
      </c>
      <c r="I10" s="90">
        <v>3000000</v>
      </c>
      <c r="J10" s="90">
        <v>5000000</v>
      </c>
      <c r="K10" s="90">
        <v>5000000</v>
      </c>
      <c r="L10" s="90">
        <v>6000000</v>
      </c>
      <c r="M10" s="90">
        <f t="shared" si="0"/>
        <v>25000000</v>
      </c>
      <c r="N10" s="126" t="s">
        <v>86</v>
      </c>
      <c r="O10" s="126" t="s">
        <v>91</v>
      </c>
    </row>
    <row r="11" spans="2:15" ht="38.25" customHeight="1" x14ac:dyDescent="0.25">
      <c r="B11" s="119"/>
      <c r="C11" s="119"/>
      <c r="D11" s="122"/>
      <c r="E11" s="122"/>
      <c r="F11" s="46" t="s">
        <v>152</v>
      </c>
      <c r="G11" s="91">
        <v>0.12</v>
      </c>
      <c r="H11" s="91">
        <v>0.12</v>
      </c>
      <c r="I11" s="91">
        <v>0.12</v>
      </c>
      <c r="J11" s="91">
        <v>0.2</v>
      </c>
      <c r="K11" s="91">
        <v>0.2</v>
      </c>
      <c r="L11" s="91">
        <v>0.24</v>
      </c>
      <c r="M11" s="91">
        <f t="shared" si="0"/>
        <v>1</v>
      </c>
      <c r="N11" s="127"/>
      <c r="O11" s="127"/>
    </row>
    <row r="12" spans="2:15" ht="38.25" customHeight="1" x14ac:dyDescent="0.25">
      <c r="B12" s="118" t="s">
        <v>42</v>
      </c>
      <c r="C12" s="118">
        <v>5</v>
      </c>
      <c r="D12" s="121" t="s">
        <v>154</v>
      </c>
      <c r="E12" s="121" t="s">
        <v>43</v>
      </c>
      <c r="F12" s="46" t="s">
        <v>144</v>
      </c>
      <c r="G12" s="90">
        <v>300000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f t="shared" si="0"/>
        <v>300000</v>
      </c>
      <c r="N12" s="126" t="s">
        <v>86</v>
      </c>
      <c r="O12" s="126" t="s">
        <v>91</v>
      </c>
    </row>
    <row r="13" spans="2:15" ht="38.25" customHeight="1" x14ac:dyDescent="0.25">
      <c r="B13" s="119"/>
      <c r="C13" s="119"/>
      <c r="D13" s="122"/>
      <c r="E13" s="122"/>
      <c r="F13" s="46" t="s">
        <v>152</v>
      </c>
      <c r="G13" s="91">
        <v>1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f t="shared" si="0"/>
        <v>1</v>
      </c>
      <c r="N13" s="127"/>
      <c r="O13" s="127"/>
    </row>
    <row r="14" spans="2:15" ht="38.25" customHeight="1" x14ac:dyDescent="0.25">
      <c r="B14" s="118" t="s">
        <v>44</v>
      </c>
      <c r="C14" s="118">
        <v>6</v>
      </c>
      <c r="D14" s="121" t="s">
        <v>154</v>
      </c>
      <c r="E14" s="121" t="s">
        <v>45</v>
      </c>
      <c r="F14" s="46" t="s">
        <v>144</v>
      </c>
      <c r="G14" s="90">
        <v>0</v>
      </c>
      <c r="H14" s="90">
        <v>0</v>
      </c>
      <c r="I14" s="90">
        <v>12000000</v>
      </c>
      <c r="J14" s="90">
        <v>12000000</v>
      </c>
      <c r="K14" s="90">
        <v>0</v>
      </c>
      <c r="L14" s="90">
        <v>0</v>
      </c>
      <c r="M14" s="90">
        <f t="shared" si="0"/>
        <v>24000000</v>
      </c>
      <c r="N14" s="126" t="s">
        <v>86</v>
      </c>
      <c r="O14" s="126" t="s">
        <v>91</v>
      </c>
    </row>
    <row r="15" spans="2:15" ht="38.25" customHeight="1" x14ac:dyDescent="0.25">
      <c r="B15" s="119"/>
      <c r="C15" s="119"/>
      <c r="D15" s="122"/>
      <c r="E15" s="122"/>
      <c r="F15" s="46" t="s">
        <v>152</v>
      </c>
      <c r="G15" s="91">
        <v>0</v>
      </c>
      <c r="H15" s="91">
        <v>0</v>
      </c>
      <c r="I15" s="91">
        <v>0.5</v>
      </c>
      <c r="J15" s="91">
        <v>0.5</v>
      </c>
      <c r="K15" s="91">
        <v>0</v>
      </c>
      <c r="L15" s="91">
        <v>0</v>
      </c>
      <c r="M15" s="91">
        <f t="shared" si="0"/>
        <v>1</v>
      </c>
      <c r="N15" s="127"/>
      <c r="O15" s="127"/>
    </row>
    <row r="16" spans="2:15" ht="38.25" customHeight="1" x14ac:dyDescent="0.25">
      <c r="B16" s="118" t="s">
        <v>46</v>
      </c>
      <c r="C16" s="118">
        <v>7</v>
      </c>
      <c r="D16" s="121" t="s">
        <v>151</v>
      </c>
      <c r="E16" s="121" t="s">
        <v>47</v>
      </c>
      <c r="F16" s="46" t="s">
        <v>144</v>
      </c>
      <c r="G16" s="90">
        <v>0</v>
      </c>
      <c r="H16" s="90">
        <v>0</v>
      </c>
      <c r="I16" s="90">
        <v>0</v>
      </c>
      <c r="J16" s="90">
        <v>0</v>
      </c>
      <c r="K16" s="90">
        <v>12500000</v>
      </c>
      <c r="L16" s="90">
        <v>12500000</v>
      </c>
      <c r="M16" s="90">
        <f t="shared" si="0"/>
        <v>25000000</v>
      </c>
      <c r="N16" s="126" t="s">
        <v>86</v>
      </c>
      <c r="O16" s="126" t="s">
        <v>91</v>
      </c>
    </row>
    <row r="17" spans="2:15" ht="38.25" customHeight="1" x14ac:dyDescent="0.25">
      <c r="B17" s="119"/>
      <c r="C17" s="119"/>
      <c r="D17" s="122"/>
      <c r="E17" s="122"/>
      <c r="F17" s="46" t="s">
        <v>152</v>
      </c>
      <c r="G17" s="91">
        <v>0</v>
      </c>
      <c r="H17" s="91">
        <v>0</v>
      </c>
      <c r="I17" s="91">
        <v>0</v>
      </c>
      <c r="J17" s="91">
        <v>0</v>
      </c>
      <c r="K17" s="91">
        <v>0.5</v>
      </c>
      <c r="L17" s="91">
        <v>0.5</v>
      </c>
      <c r="M17" s="91">
        <f t="shared" si="0"/>
        <v>1</v>
      </c>
      <c r="N17" s="127"/>
      <c r="O17" s="127"/>
    </row>
    <row r="18" spans="2:15" ht="38.25" customHeight="1" x14ac:dyDescent="0.25">
      <c r="B18" s="118" t="s">
        <v>48</v>
      </c>
      <c r="C18" s="118">
        <v>8</v>
      </c>
      <c r="D18" s="121" t="s">
        <v>154</v>
      </c>
      <c r="E18" s="121" t="s">
        <v>49</v>
      </c>
      <c r="F18" s="46" t="s">
        <v>144</v>
      </c>
      <c r="G18" s="90">
        <v>0</v>
      </c>
      <c r="H18" s="90">
        <v>0</v>
      </c>
      <c r="I18" s="90">
        <v>0</v>
      </c>
      <c r="J18" s="90">
        <v>0</v>
      </c>
      <c r="K18" s="90">
        <v>12500000</v>
      </c>
      <c r="L18" s="90">
        <v>12500000</v>
      </c>
      <c r="M18" s="90">
        <f t="shared" si="0"/>
        <v>25000000</v>
      </c>
      <c r="N18" s="126" t="s">
        <v>86</v>
      </c>
      <c r="O18" s="126" t="s">
        <v>91</v>
      </c>
    </row>
    <row r="19" spans="2:15" ht="38.25" customHeight="1" x14ac:dyDescent="0.25">
      <c r="B19" s="119"/>
      <c r="C19" s="119"/>
      <c r="D19" s="122"/>
      <c r="E19" s="122"/>
      <c r="F19" s="46" t="s">
        <v>152</v>
      </c>
      <c r="G19" s="91">
        <v>0</v>
      </c>
      <c r="H19" s="91">
        <v>0</v>
      </c>
      <c r="I19" s="91">
        <v>0</v>
      </c>
      <c r="J19" s="91">
        <v>0</v>
      </c>
      <c r="K19" s="91">
        <v>0.5</v>
      </c>
      <c r="L19" s="91">
        <v>0.5</v>
      </c>
      <c r="M19" s="91">
        <f t="shared" si="0"/>
        <v>1</v>
      </c>
      <c r="N19" s="127"/>
      <c r="O19" s="127"/>
    </row>
    <row r="20" spans="2:15" s="92" customFormat="1" ht="38.25" customHeight="1" x14ac:dyDescent="0.25">
      <c r="B20" s="118" t="s">
        <v>155</v>
      </c>
      <c r="C20" s="118" t="s">
        <v>81</v>
      </c>
      <c r="D20" s="121" t="s">
        <v>156</v>
      </c>
      <c r="E20" s="124" t="s">
        <v>51</v>
      </c>
      <c r="F20" s="46" t="s">
        <v>144</v>
      </c>
      <c r="G20" s="90">
        <v>0</v>
      </c>
      <c r="H20" s="90">
        <v>60000</v>
      </c>
      <c r="I20" s="90">
        <v>180000</v>
      </c>
      <c r="J20" s="90">
        <v>0</v>
      </c>
      <c r="K20" s="90">
        <v>0</v>
      </c>
      <c r="L20" s="90">
        <v>0</v>
      </c>
      <c r="M20" s="90">
        <v>240000</v>
      </c>
      <c r="N20" s="126" t="s">
        <v>157</v>
      </c>
      <c r="O20" s="126" t="s">
        <v>158</v>
      </c>
    </row>
    <row r="21" spans="2:15" s="92" customFormat="1" ht="38.25" customHeight="1" x14ac:dyDescent="0.25">
      <c r="B21" s="119"/>
      <c r="C21" s="119"/>
      <c r="D21" s="122"/>
      <c r="E21" s="125"/>
      <c r="F21" s="46" t="s">
        <v>152</v>
      </c>
      <c r="G21" s="91">
        <v>0</v>
      </c>
      <c r="H21" s="91">
        <v>0.25</v>
      </c>
      <c r="I21" s="91" t="s">
        <v>159</v>
      </c>
      <c r="J21" s="91">
        <v>0</v>
      </c>
      <c r="K21" s="91">
        <v>0</v>
      </c>
      <c r="L21" s="91">
        <v>0</v>
      </c>
      <c r="M21" s="91">
        <v>1</v>
      </c>
      <c r="N21" s="127" t="s">
        <v>157</v>
      </c>
      <c r="O21" s="127" t="s">
        <v>158</v>
      </c>
    </row>
    <row r="22" spans="2:15" s="92" customFormat="1" ht="38.25" customHeight="1" x14ac:dyDescent="0.25">
      <c r="B22" s="118" t="s">
        <v>281</v>
      </c>
      <c r="C22" s="120" t="s">
        <v>81</v>
      </c>
      <c r="D22" s="120" t="s">
        <v>156</v>
      </c>
      <c r="E22" s="120" t="s">
        <v>282</v>
      </c>
      <c r="F22" s="46" t="s">
        <v>144</v>
      </c>
      <c r="G22" s="90">
        <v>0</v>
      </c>
      <c r="H22" s="90">
        <v>0</v>
      </c>
      <c r="I22" s="90">
        <v>3500000</v>
      </c>
      <c r="J22" s="90">
        <v>5600000</v>
      </c>
      <c r="K22" s="90">
        <v>4900000</v>
      </c>
      <c r="L22" s="90">
        <v>0</v>
      </c>
      <c r="M22" s="90">
        <f>SUM(G22:L22)</f>
        <v>14000000</v>
      </c>
      <c r="N22" s="123" t="s">
        <v>283</v>
      </c>
      <c r="O22" s="123" t="s">
        <v>284</v>
      </c>
    </row>
    <row r="23" spans="2:15" s="92" customFormat="1" ht="38.25" customHeight="1" x14ac:dyDescent="0.25">
      <c r="B23" s="119"/>
      <c r="C23" s="120"/>
      <c r="D23" s="120"/>
      <c r="E23" s="120"/>
      <c r="F23" s="46" t="s">
        <v>152</v>
      </c>
      <c r="G23" s="91">
        <v>0</v>
      </c>
      <c r="H23" s="91">
        <v>0</v>
      </c>
      <c r="I23" s="91">
        <v>0.25</v>
      </c>
      <c r="J23" s="91">
        <v>0.4</v>
      </c>
      <c r="K23" s="91">
        <v>0.35</v>
      </c>
      <c r="L23" s="91">
        <v>0</v>
      </c>
      <c r="M23" s="91">
        <v>0</v>
      </c>
      <c r="N23" s="123"/>
      <c r="O23" s="123"/>
    </row>
    <row r="24" spans="2:15" s="92" customFormat="1" ht="38.25" customHeight="1" x14ac:dyDescent="0.25">
      <c r="B24" s="118" t="s">
        <v>285</v>
      </c>
      <c r="C24" s="120" t="s">
        <v>81</v>
      </c>
      <c r="D24" s="121" t="s">
        <v>286</v>
      </c>
      <c r="E24" s="120" t="s">
        <v>287</v>
      </c>
      <c r="F24" s="46" t="s">
        <v>144</v>
      </c>
      <c r="G24" s="90">
        <v>0</v>
      </c>
      <c r="H24" s="90">
        <v>0</v>
      </c>
      <c r="I24" s="90">
        <v>750000</v>
      </c>
      <c r="J24" s="90">
        <v>1200000</v>
      </c>
      <c r="K24" s="90">
        <v>1050000</v>
      </c>
      <c r="L24" s="90">
        <v>0</v>
      </c>
      <c r="M24" s="90">
        <f>SUM(G24:L24)</f>
        <v>3000000</v>
      </c>
      <c r="N24" s="123" t="s">
        <v>283</v>
      </c>
      <c r="O24" s="123" t="s">
        <v>284</v>
      </c>
    </row>
    <row r="25" spans="2:15" s="92" customFormat="1" ht="38.25" customHeight="1" x14ac:dyDescent="0.25">
      <c r="B25" s="119"/>
      <c r="C25" s="120"/>
      <c r="D25" s="122"/>
      <c r="E25" s="120"/>
      <c r="F25" s="46" t="s">
        <v>152</v>
      </c>
      <c r="G25" s="91">
        <v>0</v>
      </c>
      <c r="H25" s="91">
        <v>0</v>
      </c>
      <c r="I25" s="91">
        <v>0.25</v>
      </c>
      <c r="J25" s="91">
        <v>0.4</v>
      </c>
      <c r="K25" s="91">
        <v>0.35</v>
      </c>
      <c r="L25" s="91">
        <v>0</v>
      </c>
      <c r="M25" s="91">
        <v>0</v>
      </c>
      <c r="N25" s="123"/>
      <c r="O25" s="123"/>
    </row>
    <row r="26" spans="2:15" s="92" customFormat="1" ht="38.25" customHeight="1" x14ac:dyDescent="0.25">
      <c r="B26" s="118" t="s">
        <v>288</v>
      </c>
      <c r="C26" s="120" t="s">
        <v>81</v>
      </c>
      <c r="D26" s="121" t="s">
        <v>156</v>
      </c>
      <c r="E26" s="120" t="s">
        <v>289</v>
      </c>
      <c r="F26" s="46" t="s">
        <v>144</v>
      </c>
      <c r="G26" s="90">
        <v>0</v>
      </c>
      <c r="H26" s="90">
        <v>0</v>
      </c>
      <c r="I26" s="90">
        <v>500000</v>
      </c>
      <c r="J26" s="90">
        <v>800000</v>
      </c>
      <c r="K26" s="90">
        <v>700000</v>
      </c>
      <c r="L26" s="90">
        <v>0</v>
      </c>
      <c r="M26" s="90">
        <f>SUM(G26:L26)</f>
        <v>2000000</v>
      </c>
      <c r="N26" s="123" t="s">
        <v>283</v>
      </c>
      <c r="O26" s="123" t="s">
        <v>284</v>
      </c>
    </row>
    <row r="27" spans="2:15" s="92" customFormat="1" ht="38.25" customHeight="1" x14ac:dyDescent="0.25">
      <c r="B27" s="119"/>
      <c r="C27" s="120"/>
      <c r="D27" s="122"/>
      <c r="E27" s="120"/>
      <c r="F27" s="46" t="s">
        <v>152</v>
      </c>
      <c r="G27" s="93" t="s">
        <v>290</v>
      </c>
      <c r="H27" s="91">
        <v>0</v>
      </c>
      <c r="I27" s="91">
        <v>0.25</v>
      </c>
      <c r="J27" s="91">
        <v>0.4</v>
      </c>
      <c r="K27" s="91">
        <v>0.35</v>
      </c>
      <c r="L27" s="91">
        <v>0</v>
      </c>
      <c r="M27" s="91">
        <v>0</v>
      </c>
      <c r="N27" s="123"/>
      <c r="O27" s="123"/>
    </row>
    <row r="28" spans="2:15" x14ac:dyDescent="0.25">
      <c r="B28" s="117" t="s">
        <v>291</v>
      </c>
      <c r="C28" s="117"/>
      <c r="D28" s="117"/>
      <c r="E28" s="117"/>
    </row>
    <row r="29" spans="2:15" x14ac:dyDescent="0.25">
      <c r="B29" s="95" t="s">
        <v>292</v>
      </c>
    </row>
  </sheetData>
  <mergeCells count="74">
    <mergeCell ref="E1:K1"/>
    <mergeCell ref="B4:B5"/>
    <mergeCell ref="C4:C5"/>
    <mergeCell ref="D4:D5"/>
    <mergeCell ref="E4:E5"/>
    <mergeCell ref="O4:O5"/>
    <mergeCell ref="B6:B7"/>
    <mergeCell ref="C6:C7"/>
    <mergeCell ref="D6:D7"/>
    <mergeCell ref="E6:E7"/>
    <mergeCell ref="N6:N7"/>
    <mergeCell ref="O6:O7"/>
    <mergeCell ref="N4:N5"/>
    <mergeCell ref="O10:O11"/>
    <mergeCell ref="B8:B9"/>
    <mergeCell ref="C8:C9"/>
    <mergeCell ref="D8:D9"/>
    <mergeCell ref="E8:E9"/>
    <mergeCell ref="N8:N9"/>
    <mergeCell ref="O8:O9"/>
    <mergeCell ref="B10:B11"/>
    <mergeCell ref="C10:C11"/>
    <mergeCell ref="D10:D11"/>
    <mergeCell ref="E10:E11"/>
    <mergeCell ref="N10:N11"/>
    <mergeCell ref="O14:O15"/>
    <mergeCell ref="B12:B13"/>
    <mergeCell ref="C12:C13"/>
    <mergeCell ref="D12:D13"/>
    <mergeCell ref="E12:E13"/>
    <mergeCell ref="N12:N13"/>
    <mergeCell ref="O12:O13"/>
    <mergeCell ref="B14:B15"/>
    <mergeCell ref="C14:C15"/>
    <mergeCell ref="D14:D15"/>
    <mergeCell ref="E14:E15"/>
    <mergeCell ref="N14:N15"/>
    <mergeCell ref="O18:O19"/>
    <mergeCell ref="B16:B17"/>
    <mergeCell ref="C16:C17"/>
    <mergeCell ref="D16:D17"/>
    <mergeCell ref="E16:E17"/>
    <mergeCell ref="N16:N17"/>
    <mergeCell ref="O16:O17"/>
    <mergeCell ref="B18:B19"/>
    <mergeCell ref="C18:C19"/>
    <mergeCell ref="D18:D19"/>
    <mergeCell ref="E18:E19"/>
    <mergeCell ref="N18:N19"/>
    <mergeCell ref="O22:O23"/>
    <mergeCell ref="B20:B21"/>
    <mergeCell ref="C20:C21"/>
    <mergeCell ref="D20:D21"/>
    <mergeCell ref="E20:E21"/>
    <mergeCell ref="N20:N21"/>
    <mergeCell ref="O20:O21"/>
    <mergeCell ref="B22:B23"/>
    <mergeCell ref="C22:C23"/>
    <mergeCell ref="D22:D23"/>
    <mergeCell ref="E22:E23"/>
    <mergeCell ref="N22:N23"/>
    <mergeCell ref="N26:N27"/>
    <mergeCell ref="O26:O27"/>
    <mergeCell ref="B24:B25"/>
    <mergeCell ref="C24:C25"/>
    <mergeCell ref="D24:D25"/>
    <mergeCell ref="E24:E25"/>
    <mergeCell ref="N24:N25"/>
    <mergeCell ref="O24:O25"/>
    <mergeCell ref="B28:E28"/>
    <mergeCell ref="B26:B27"/>
    <mergeCell ref="C26:C27"/>
    <mergeCell ref="D26:D27"/>
    <mergeCell ref="E26:E27"/>
  </mergeCells>
  <hyperlinks>
    <hyperlink ref="B1" location="MENU!A1" display="MENU" xr:uid="{4A21D59E-02BC-4A62-8C2C-6D91A17268AB}"/>
  </hyperlinks>
  <pageMargins left="0.25" right="0.25" top="0.75" bottom="0.75" header="0.3" footer="0.3"/>
  <pageSetup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5"/>
  <sheetViews>
    <sheetView topLeftCell="A19" workbookViewId="0">
      <selection activeCell="A44" sqref="A44"/>
    </sheetView>
  </sheetViews>
  <sheetFormatPr defaultRowHeight="15" x14ac:dyDescent="0.25"/>
  <cols>
    <col min="1" max="1" width="59.140625" bestFit="1" customWidth="1"/>
    <col min="2" max="5" width="18.42578125" customWidth="1"/>
    <col min="6" max="6" width="10.42578125" customWidth="1"/>
    <col min="7" max="8" width="18.42578125" customWidth="1"/>
    <col min="9" max="9" width="9.140625" style="72"/>
    <col min="10" max="10" width="12.140625" customWidth="1"/>
    <col min="18" max="18" width="15.28515625" style="67" customWidth="1"/>
    <col min="19" max="19" width="9.5703125" style="67" customWidth="1"/>
    <col min="20" max="20" width="9.140625" style="72"/>
    <col min="21" max="21" width="9.140625" style="67"/>
  </cols>
  <sheetData>
    <row r="1" spans="1:8" ht="15.75" thickBot="1" x14ac:dyDescent="0.3">
      <c r="A1" s="47" t="s">
        <v>160</v>
      </c>
      <c r="B1" s="48" t="s">
        <v>161</v>
      </c>
      <c r="C1" s="48" t="s">
        <v>162</v>
      </c>
      <c r="D1" s="48" t="s">
        <v>163</v>
      </c>
      <c r="E1" s="48" t="s">
        <v>164</v>
      </c>
      <c r="F1" s="48"/>
      <c r="G1" s="48" t="s">
        <v>165</v>
      </c>
      <c r="H1" s="53"/>
    </row>
    <row r="2" spans="1:8" ht="15.75" thickBot="1" x14ac:dyDescent="0.3">
      <c r="A2" s="49" t="s">
        <v>166</v>
      </c>
      <c r="B2" s="50">
        <v>93</v>
      </c>
      <c r="C2" s="50">
        <v>4868</v>
      </c>
      <c r="D2" s="50">
        <v>4056</v>
      </c>
      <c r="E2" s="50">
        <v>19861</v>
      </c>
      <c r="F2" s="50"/>
      <c r="G2" s="50">
        <v>1253</v>
      </c>
      <c r="H2" s="75"/>
    </row>
    <row r="3" spans="1:8" ht="15.75" thickBot="1" x14ac:dyDescent="0.3">
      <c r="A3" s="49" t="s">
        <v>167</v>
      </c>
      <c r="B3" s="50">
        <v>4</v>
      </c>
      <c r="C3" s="50">
        <v>0</v>
      </c>
      <c r="D3" s="50">
        <v>0</v>
      </c>
      <c r="E3" s="50">
        <v>424</v>
      </c>
      <c r="F3" s="50"/>
      <c r="G3" s="50">
        <v>35</v>
      </c>
      <c r="H3" s="75"/>
    </row>
    <row r="4" spans="1:8" ht="15.75" thickBot="1" x14ac:dyDescent="0.3">
      <c r="A4" s="49" t="s">
        <v>168</v>
      </c>
      <c r="B4" s="50">
        <v>42</v>
      </c>
      <c r="C4" s="51">
        <v>1093</v>
      </c>
      <c r="D4" s="50">
        <v>689</v>
      </c>
      <c r="E4" s="51">
        <v>1968</v>
      </c>
      <c r="F4" s="51"/>
      <c r="G4" s="50">
        <v>487</v>
      </c>
      <c r="H4" s="75"/>
    </row>
    <row r="5" spans="1:8" ht="15.75" thickBot="1" x14ac:dyDescent="0.3">
      <c r="A5" s="49" t="s">
        <v>169</v>
      </c>
      <c r="B5" s="50">
        <v>10</v>
      </c>
      <c r="C5" s="50">
        <v>198</v>
      </c>
      <c r="D5" s="50">
        <v>170</v>
      </c>
      <c r="E5" s="50">
        <v>438</v>
      </c>
      <c r="F5" s="50"/>
      <c r="G5" s="50">
        <v>57</v>
      </c>
      <c r="H5" s="75"/>
    </row>
    <row r="6" spans="1:8" ht="15.75" thickBot="1" x14ac:dyDescent="0.3">
      <c r="A6" s="49" t="s">
        <v>170</v>
      </c>
      <c r="B6" s="50">
        <v>26</v>
      </c>
      <c r="C6" s="50">
        <v>524</v>
      </c>
      <c r="D6" s="50">
        <v>304</v>
      </c>
      <c r="E6" s="51">
        <v>1586</v>
      </c>
      <c r="F6" s="51"/>
      <c r="G6" s="50">
        <v>247</v>
      </c>
      <c r="H6" s="75"/>
    </row>
    <row r="7" spans="1:8" ht="15.75" thickBot="1" x14ac:dyDescent="0.3">
      <c r="A7" s="49" t="s">
        <v>171</v>
      </c>
      <c r="B7" s="50"/>
      <c r="C7" s="50"/>
      <c r="D7" s="50"/>
      <c r="E7" s="50">
        <v>173</v>
      </c>
      <c r="F7" s="50"/>
      <c r="G7" s="50"/>
      <c r="H7" s="75"/>
    </row>
    <row r="8" spans="1:8" ht="15.75" thickBot="1" x14ac:dyDescent="0.3">
      <c r="A8" s="49" t="s">
        <v>172</v>
      </c>
      <c r="B8" s="50"/>
      <c r="C8" s="50"/>
      <c r="D8" s="50"/>
      <c r="E8" s="50">
        <v>269</v>
      </c>
      <c r="F8" s="50"/>
      <c r="G8" s="50">
        <v>124</v>
      </c>
      <c r="H8" s="75"/>
    </row>
    <row r="9" spans="1:8" ht="15.75" thickBot="1" x14ac:dyDescent="0.3">
      <c r="A9" s="49" t="s">
        <v>173</v>
      </c>
      <c r="B9" s="50"/>
      <c r="C9" s="50"/>
      <c r="D9" s="50"/>
      <c r="E9" s="50">
        <v>155</v>
      </c>
      <c r="F9" s="50"/>
      <c r="G9" s="50"/>
      <c r="H9" s="75"/>
    </row>
    <row r="10" spans="1:8" ht="15.75" thickBot="1" x14ac:dyDescent="0.3">
      <c r="A10" s="49" t="s">
        <v>174</v>
      </c>
      <c r="B10" s="50"/>
      <c r="C10" s="50">
        <v>960</v>
      </c>
      <c r="D10" s="50"/>
      <c r="E10" s="50">
        <v>809</v>
      </c>
      <c r="F10" s="50"/>
      <c r="G10" s="50"/>
      <c r="H10" s="75"/>
    </row>
    <row r="11" spans="1:8" ht="15.75" thickBot="1" x14ac:dyDescent="0.3">
      <c r="A11" s="49" t="s">
        <v>175</v>
      </c>
      <c r="B11" s="50">
        <v>7</v>
      </c>
      <c r="C11" s="50">
        <v>275</v>
      </c>
      <c r="D11" s="50"/>
      <c r="E11" s="50">
        <v>614</v>
      </c>
      <c r="F11" s="50"/>
      <c r="G11" s="50">
        <v>86</v>
      </c>
      <c r="H11" s="75"/>
    </row>
    <row r="12" spans="1:8" ht="19.5" thickBot="1" x14ac:dyDescent="0.35">
      <c r="A12" s="53" t="s">
        <v>176</v>
      </c>
      <c r="B12" s="52"/>
      <c r="C12" s="52"/>
      <c r="D12" s="52"/>
      <c r="E12" s="55">
        <f>SUM(E2:E11)</f>
        <v>26297</v>
      </c>
      <c r="F12" s="66"/>
      <c r="G12" s="52"/>
      <c r="H12" s="52"/>
    </row>
    <row r="13" spans="1:8" ht="15.75" thickBot="1" x14ac:dyDescent="0.3"/>
    <row r="14" spans="1:8" ht="19.5" thickBot="1" x14ac:dyDescent="0.35">
      <c r="A14" s="47" t="s">
        <v>177</v>
      </c>
      <c r="B14" s="54">
        <v>2022</v>
      </c>
      <c r="C14" s="52"/>
      <c r="D14" s="52"/>
      <c r="E14" s="52"/>
      <c r="F14" s="52"/>
      <c r="G14" s="52"/>
      <c r="H14" s="52"/>
    </row>
    <row r="15" spans="1:8" ht="19.5" thickBot="1" x14ac:dyDescent="0.35">
      <c r="A15" s="49" t="s">
        <v>178</v>
      </c>
      <c r="B15" s="51">
        <v>1797</v>
      </c>
      <c r="C15" s="52"/>
      <c r="D15" s="52"/>
      <c r="E15" s="52"/>
      <c r="F15" s="52"/>
      <c r="G15" s="52"/>
      <c r="H15" s="52"/>
    </row>
    <row r="16" spans="1:8" ht="19.5" thickBot="1" x14ac:dyDescent="0.35">
      <c r="A16" s="49" t="s">
        <v>179</v>
      </c>
      <c r="B16" s="50">
        <v>78</v>
      </c>
      <c r="C16" s="52"/>
      <c r="D16" s="52"/>
      <c r="E16" s="52"/>
      <c r="F16" s="52"/>
      <c r="G16" s="52"/>
      <c r="H16" s="52"/>
    </row>
    <row r="17" spans="1:22" ht="19.5" thickBot="1" x14ac:dyDescent="0.35">
      <c r="A17" s="49" t="s">
        <v>180</v>
      </c>
      <c r="B17" s="50">
        <v>39</v>
      </c>
      <c r="C17" s="52"/>
      <c r="D17" s="52"/>
      <c r="E17" s="52"/>
      <c r="F17" s="52"/>
      <c r="G17" s="52"/>
      <c r="H17" s="52"/>
    </row>
    <row r="18" spans="1:22" ht="19.5" thickBot="1" x14ac:dyDescent="0.35">
      <c r="A18" s="49" t="s">
        <v>181</v>
      </c>
      <c r="B18" s="50">
        <v>5</v>
      </c>
      <c r="C18" s="52"/>
      <c r="D18" s="52"/>
      <c r="E18" s="52"/>
      <c r="F18" s="52"/>
      <c r="G18" s="52"/>
      <c r="H18" s="52"/>
    </row>
    <row r="19" spans="1:22" ht="19.5" thickBot="1" x14ac:dyDescent="0.35">
      <c r="A19" s="49" t="s">
        <v>182</v>
      </c>
      <c r="B19" s="50">
        <v>83</v>
      </c>
      <c r="C19" s="52"/>
      <c r="D19" s="52"/>
      <c r="E19" s="52"/>
      <c r="F19" s="52"/>
      <c r="G19" s="52"/>
      <c r="H19" s="52"/>
    </row>
    <row r="20" spans="1:22" ht="19.5" thickBot="1" x14ac:dyDescent="0.35">
      <c r="A20" s="49" t="s">
        <v>183</v>
      </c>
      <c r="B20" s="50">
        <v>10</v>
      </c>
      <c r="C20" s="52"/>
      <c r="D20" s="52"/>
      <c r="E20" s="52"/>
      <c r="F20" s="52"/>
      <c r="G20" s="52"/>
      <c r="H20" s="52"/>
    </row>
    <row r="21" spans="1:22" ht="19.5" thickBot="1" x14ac:dyDescent="0.35">
      <c r="A21" s="49" t="s">
        <v>184</v>
      </c>
      <c r="B21" s="51">
        <v>1708</v>
      </c>
      <c r="C21" s="52"/>
      <c r="D21" s="52"/>
      <c r="E21" s="52"/>
      <c r="F21" s="52"/>
      <c r="G21" s="52"/>
      <c r="H21" s="52"/>
    </row>
    <row r="22" spans="1:22" ht="19.5" thickBot="1" x14ac:dyDescent="0.35">
      <c r="A22" s="61" t="s">
        <v>185</v>
      </c>
      <c r="B22" s="62">
        <v>1142</v>
      </c>
      <c r="C22" s="52" t="s">
        <v>186</v>
      </c>
      <c r="D22" s="52"/>
      <c r="E22" s="52"/>
      <c r="F22" s="52"/>
      <c r="G22" s="52"/>
      <c r="H22" s="52"/>
    </row>
    <row r="23" spans="1:22" ht="19.5" thickBot="1" x14ac:dyDescent="0.35">
      <c r="A23" s="49" t="s">
        <v>187</v>
      </c>
      <c r="B23" s="50">
        <v>995</v>
      </c>
      <c r="C23" s="52"/>
      <c r="D23" s="52"/>
      <c r="E23" s="52"/>
      <c r="F23" s="52"/>
      <c r="G23" s="52"/>
      <c r="H23" s="52"/>
    </row>
    <row r="24" spans="1:22" ht="19.5" thickBot="1" x14ac:dyDescent="0.35">
      <c r="A24" s="53" t="s">
        <v>188</v>
      </c>
      <c r="B24" s="63">
        <f>SUM(B15:B21,B23)</f>
        <v>4715</v>
      </c>
    </row>
    <row r="26" spans="1:22" x14ac:dyDescent="0.25">
      <c r="G26" t="s">
        <v>189</v>
      </c>
      <c r="K26" t="s">
        <v>190</v>
      </c>
      <c r="R26" s="67" t="s">
        <v>191</v>
      </c>
      <c r="U26" s="67" t="s">
        <v>192</v>
      </c>
    </row>
    <row r="27" spans="1:22" x14ac:dyDescent="0.25">
      <c r="F27">
        <v>2013</v>
      </c>
      <c r="G27" s="65">
        <f t="shared" ref="G27:G35" si="0">K27*100</f>
        <v>2603400</v>
      </c>
      <c r="H27" s="76">
        <v>4581</v>
      </c>
      <c r="I27" s="73">
        <f t="shared" ref="I27:I36" si="1">G27/H27</f>
        <v>568.30386378519972</v>
      </c>
      <c r="K27" s="67">
        <v>26034</v>
      </c>
      <c r="Q27">
        <v>2013</v>
      </c>
      <c r="R27" s="67">
        <f>U27*500</f>
        <v>12693500</v>
      </c>
      <c r="S27" s="76">
        <v>31951</v>
      </c>
      <c r="T27" s="73">
        <f t="shared" ref="T27:T32" si="2">R27/$C$35</f>
        <v>397.28021032205567</v>
      </c>
      <c r="U27" s="67">
        <v>25387</v>
      </c>
    </row>
    <row r="28" spans="1:22" x14ac:dyDescent="0.25">
      <c r="F28">
        <v>2014</v>
      </c>
      <c r="G28" s="65">
        <f t="shared" si="0"/>
        <v>2450000</v>
      </c>
      <c r="H28" s="76">
        <v>4581</v>
      </c>
      <c r="I28" s="73">
        <f t="shared" si="1"/>
        <v>534.81772538746998</v>
      </c>
      <c r="K28" s="67">
        <v>24500</v>
      </c>
      <c r="Q28">
        <v>2014</v>
      </c>
      <c r="R28" s="67">
        <f t="shared" ref="R28:R36" si="3">U28*500</f>
        <v>11857500</v>
      </c>
      <c r="S28" s="76">
        <v>31951</v>
      </c>
      <c r="T28" s="73">
        <f t="shared" si="2"/>
        <v>371.11514506588213</v>
      </c>
      <c r="U28" s="67">
        <v>23715</v>
      </c>
    </row>
    <row r="29" spans="1:22" x14ac:dyDescent="0.25">
      <c r="F29">
        <v>2015</v>
      </c>
      <c r="G29" s="65">
        <f t="shared" si="0"/>
        <v>2065200</v>
      </c>
      <c r="H29" s="76">
        <v>4581</v>
      </c>
      <c r="I29" s="73">
        <f t="shared" si="1"/>
        <v>450.81859855926655</v>
      </c>
      <c r="K29" s="67">
        <v>20652</v>
      </c>
      <c r="Q29">
        <v>2015</v>
      </c>
      <c r="R29" s="67">
        <f t="shared" si="3"/>
        <v>11498500</v>
      </c>
      <c r="S29" s="76">
        <v>31951</v>
      </c>
      <c r="T29" s="73">
        <f t="shared" si="2"/>
        <v>359.87919000970237</v>
      </c>
      <c r="U29" s="67">
        <v>22997</v>
      </c>
    </row>
    <row r="30" spans="1:22" x14ac:dyDescent="0.25">
      <c r="F30">
        <v>2016</v>
      </c>
      <c r="G30" s="65">
        <f t="shared" si="0"/>
        <v>2010800</v>
      </c>
      <c r="H30" s="76">
        <v>4581</v>
      </c>
      <c r="I30" s="73">
        <f t="shared" si="1"/>
        <v>438.9434621261733</v>
      </c>
      <c r="K30" s="67">
        <v>20108</v>
      </c>
      <c r="Q30">
        <v>2016</v>
      </c>
      <c r="R30" s="67">
        <f t="shared" si="3"/>
        <v>10813500</v>
      </c>
      <c r="S30" s="76">
        <v>31951</v>
      </c>
      <c r="T30" s="73">
        <f t="shared" si="2"/>
        <v>338.44011142061282</v>
      </c>
      <c r="U30" s="67">
        <v>21627</v>
      </c>
    </row>
    <row r="31" spans="1:22" s="69" customFormat="1" ht="15.75" x14ac:dyDescent="0.25">
      <c r="A31" s="68">
        <v>2022</v>
      </c>
      <c r="F31">
        <v>2017</v>
      </c>
      <c r="G31" s="65">
        <f t="shared" si="0"/>
        <v>1862500</v>
      </c>
      <c r="H31" s="76">
        <v>4581</v>
      </c>
      <c r="I31" s="73">
        <f t="shared" si="1"/>
        <v>406.57061776904607</v>
      </c>
      <c r="J31"/>
      <c r="K31" s="67">
        <v>18625</v>
      </c>
      <c r="L31"/>
      <c r="Q31">
        <v>2017</v>
      </c>
      <c r="R31" s="67">
        <f t="shared" si="3"/>
        <v>10663000</v>
      </c>
      <c r="S31" s="76">
        <v>31951</v>
      </c>
      <c r="T31" s="73">
        <f t="shared" si="2"/>
        <v>333.72977371600263</v>
      </c>
      <c r="U31" s="70">
        <v>21326</v>
      </c>
    </row>
    <row r="32" spans="1:22" x14ac:dyDescent="0.25">
      <c r="A32" s="56" t="s">
        <v>193</v>
      </c>
      <c r="B32" s="56" t="s">
        <v>194</v>
      </c>
      <c r="C32" s="56" t="s">
        <v>195</v>
      </c>
      <c r="D32" s="56" t="s">
        <v>196</v>
      </c>
      <c r="F32">
        <v>2018</v>
      </c>
      <c r="G32" s="65">
        <f t="shared" si="0"/>
        <v>1665700</v>
      </c>
      <c r="H32" s="76">
        <v>4581</v>
      </c>
      <c r="I32" s="73">
        <f t="shared" si="1"/>
        <v>363.61056537873827</v>
      </c>
      <c r="J32" t="s">
        <v>197</v>
      </c>
      <c r="K32" s="67">
        <v>16657</v>
      </c>
      <c r="Q32">
        <v>2018</v>
      </c>
      <c r="R32" s="67">
        <f t="shared" si="3"/>
        <v>7628500</v>
      </c>
      <c r="S32" s="76">
        <v>31951</v>
      </c>
      <c r="T32" s="73">
        <f t="shared" si="2"/>
        <v>238.75622046258334</v>
      </c>
      <c r="U32" s="67">
        <v>15257</v>
      </c>
      <c r="V32" t="s">
        <v>197</v>
      </c>
    </row>
    <row r="33" spans="1:22" x14ac:dyDescent="0.25">
      <c r="A33" s="57" t="s">
        <v>198</v>
      </c>
      <c r="B33" s="58">
        <v>9603092</v>
      </c>
      <c r="C33" s="59">
        <v>31951</v>
      </c>
      <c r="D33" s="60">
        <f>B33/C33</f>
        <v>300.55685268066725</v>
      </c>
      <c r="F33" s="77">
        <v>2019</v>
      </c>
      <c r="G33" s="78">
        <f t="shared" si="0"/>
        <v>1379300</v>
      </c>
      <c r="H33" s="79">
        <v>4581</v>
      </c>
      <c r="I33" s="80">
        <f t="shared" si="1"/>
        <v>301.09146474568871</v>
      </c>
      <c r="J33" s="83">
        <v>163.81</v>
      </c>
      <c r="K33" s="67">
        <v>13793</v>
      </c>
      <c r="Q33" s="77">
        <v>2019</v>
      </c>
      <c r="R33" s="81">
        <f>U33*500</f>
        <v>9067000</v>
      </c>
      <c r="S33" s="79">
        <v>31274</v>
      </c>
      <c r="T33" s="80">
        <f>R33/S33</f>
        <v>289.92134041056471</v>
      </c>
      <c r="U33" s="81">
        <v>18134</v>
      </c>
      <c r="V33" s="82">
        <v>270.08999999999997</v>
      </c>
    </row>
    <row r="34" spans="1:22" x14ac:dyDescent="0.25">
      <c r="A34" s="57" t="s">
        <v>199</v>
      </c>
      <c r="B34" s="58">
        <v>207549</v>
      </c>
      <c r="C34" s="59">
        <v>31951</v>
      </c>
      <c r="D34" s="60">
        <f>B34/C34</f>
        <v>6.4958530249444459</v>
      </c>
      <c r="F34">
        <v>2020</v>
      </c>
      <c r="G34" s="65">
        <f t="shared" si="0"/>
        <v>393100</v>
      </c>
      <c r="H34" s="76">
        <v>4581</v>
      </c>
      <c r="I34" s="73">
        <f t="shared" si="1"/>
        <v>85.810958306046714</v>
      </c>
      <c r="K34" s="67">
        <v>3931</v>
      </c>
      <c r="Q34">
        <v>2020</v>
      </c>
      <c r="R34" s="67">
        <f t="shared" si="3"/>
        <v>2558500</v>
      </c>
      <c r="S34" s="76">
        <v>31951</v>
      </c>
      <c r="T34" s="73">
        <f>R34/$C$35</f>
        <v>80.075740978373133</v>
      </c>
      <c r="U34" s="67">
        <v>5117</v>
      </c>
    </row>
    <row r="35" spans="1:22" x14ac:dyDescent="0.25">
      <c r="A35" s="57" t="s">
        <v>200</v>
      </c>
      <c r="B35" s="58">
        <v>2774500</v>
      </c>
      <c r="C35" s="59">
        <v>31951</v>
      </c>
      <c r="D35" s="60">
        <f>B35/C35</f>
        <v>86.83609276704955</v>
      </c>
      <c r="F35">
        <v>2021</v>
      </c>
      <c r="G35" s="65">
        <f t="shared" si="0"/>
        <v>458000</v>
      </c>
      <c r="H35" s="76">
        <v>4581</v>
      </c>
      <c r="I35" s="73">
        <f t="shared" si="1"/>
        <v>99.978170705086228</v>
      </c>
      <c r="K35" s="67">
        <v>4580</v>
      </c>
      <c r="Q35">
        <v>2021</v>
      </c>
      <c r="R35" s="67">
        <f t="shared" si="3"/>
        <v>2189500</v>
      </c>
      <c r="S35" s="76">
        <v>31951</v>
      </c>
      <c r="T35" s="73">
        <f>R35/$C$35</f>
        <v>68.526806672717598</v>
      </c>
      <c r="U35" s="67">
        <v>4379</v>
      </c>
    </row>
    <row r="36" spans="1:22" x14ac:dyDescent="0.25">
      <c r="A36" s="57" t="s">
        <v>201</v>
      </c>
      <c r="B36" s="58">
        <v>839000</v>
      </c>
      <c r="C36" s="59">
        <v>4581</v>
      </c>
      <c r="D36" s="60">
        <f>B36/C36</f>
        <v>183.14778432656624</v>
      </c>
      <c r="F36">
        <v>2022</v>
      </c>
      <c r="G36" s="65">
        <f>K36*100</f>
        <v>936300</v>
      </c>
      <c r="H36" s="76">
        <v>4581</v>
      </c>
      <c r="I36" s="73">
        <f t="shared" si="1"/>
        <v>204.38768827766864</v>
      </c>
      <c r="K36" s="67">
        <v>9363</v>
      </c>
      <c r="Q36">
        <v>2022</v>
      </c>
      <c r="R36" s="67">
        <f t="shared" si="3"/>
        <v>4807500</v>
      </c>
      <c r="S36" s="76">
        <v>31951</v>
      </c>
      <c r="T36" s="73">
        <f>R36/$C$35</f>
        <v>150.4647741854715</v>
      </c>
      <c r="U36" s="67">
        <v>9615</v>
      </c>
    </row>
    <row r="37" spans="1:22" x14ac:dyDescent="0.25">
      <c r="A37" s="57" t="s">
        <v>202</v>
      </c>
      <c r="B37" s="58">
        <f>124176.09</f>
        <v>124176.09</v>
      </c>
      <c r="C37" s="59">
        <v>31951</v>
      </c>
      <c r="D37" s="60">
        <f>B37/C37</f>
        <v>3.8864539451034394</v>
      </c>
      <c r="K37" s="67"/>
    </row>
    <row r="38" spans="1:22" x14ac:dyDescent="0.25">
      <c r="K38" s="67"/>
    </row>
    <row r="39" spans="1:22" s="69" customFormat="1" ht="15.75" x14ac:dyDescent="0.25">
      <c r="A39" s="68">
        <v>2023</v>
      </c>
      <c r="I39" s="74"/>
      <c r="K39" s="70"/>
      <c r="R39" s="70"/>
      <c r="S39" s="70"/>
      <c r="T39" s="74"/>
      <c r="U39" s="70"/>
    </row>
    <row r="40" spans="1:22" x14ac:dyDescent="0.25">
      <c r="A40" s="56" t="s">
        <v>193</v>
      </c>
      <c r="B40" s="56" t="s">
        <v>203</v>
      </c>
      <c r="C40" s="56" t="s">
        <v>195</v>
      </c>
      <c r="D40" s="56" t="s">
        <v>196</v>
      </c>
      <c r="K40" s="67"/>
    </row>
    <row r="41" spans="1:22" x14ac:dyDescent="0.25">
      <c r="A41" s="57" t="s">
        <v>198</v>
      </c>
      <c r="B41" s="58">
        <v>10900628.85</v>
      </c>
      <c r="C41" s="59">
        <f>E12+B24</f>
        <v>31012</v>
      </c>
      <c r="D41" s="60">
        <f>B41/C41</f>
        <v>351.49712530633303</v>
      </c>
      <c r="E41" s="64">
        <f>D41/D33-1</f>
        <v>0.16948631239424206</v>
      </c>
      <c r="F41" s="64"/>
      <c r="K41" s="67"/>
    </row>
    <row r="42" spans="1:22" x14ac:dyDescent="0.25">
      <c r="A42" s="57" t="s">
        <v>199</v>
      </c>
      <c r="B42" s="58">
        <v>220035</v>
      </c>
      <c r="C42" s="59">
        <f>C41</f>
        <v>31012</v>
      </c>
      <c r="D42" s="60">
        <f>B42/C42</f>
        <v>7.0951567135302467</v>
      </c>
      <c r="E42" s="64">
        <f>D42/D34-1</f>
        <v>9.2259428636153107E-2</v>
      </c>
      <c r="F42" s="64"/>
      <c r="K42" s="67"/>
    </row>
    <row r="43" spans="1:22" x14ac:dyDescent="0.25">
      <c r="A43" s="57" t="s">
        <v>200</v>
      </c>
      <c r="B43" s="58">
        <v>4107000</v>
      </c>
      <c r="C43" s="59">
        <f>C42</f>
        <v>31012</v>
      </c>
      <c r="D43" s="60">
        <f>B43/C43</f>
        <v>132.43260673287759</v>
      </c>
      <c r="E43" s="64">
        <f>D43/D35-1</f>
        <v>0.52508712118297773</v>
      </c>
      <c r="F43" s="64"/>
      <c r="K43" s="67"/>
    </row>
    <row r="44" spans="1:22" x14ac:dyDescent="0.25">
      <c r="A44" s="57" t="s">
        <v>201</v>
      </c>
      <c r="B44" s="58">
        <v>1175100</v>
      </c>
      <c r="C44" s="59">
        <f>B24</f>
        <v>4715</v>
      </c>
      <c r="D44" s="60">
        <f>B44/C44</f>
        <v>249.22587486744433</v>
      </c>
      <c r="E44" s="64">
        <f>D44/D36-1</f>
        <v>0.36079109984238689</v>
      </c>
      <c r="F44" s="64">
        <v>20.23</v>
      </c>
      <c r="G44" s="65">
        <f>10139*100</f>
        <v>1013900</v>
      </c>
      <c r="H44" s="65"/>
      <c r="I44" s="73">
        <f>G44/C44</f>
        <v>215.03711558854718</v>
      </c>
      <c r="J44" s="71">
        <f>I44/I36-1</f>
        <v>5.2104054802023514E-2</v>
      </c>
      <c r="K44" s="67">
        <v>10139</v>
      </c>
      <c r="Q44">
        <v>2023</v>
      </c>
      <c r="R44" s="67">
        <f t="shared" ref="R44" si="4">U44*500</f>
        <v>3401000</v>
      </c>
      <c r="T44" s="73">
        <f>R44/$C$35</f>
        <v>106.4442427467059</v>
      </c>
      <c r="U44" s="67">
        <v>6802</v>
      </c>
    </row>
    <row r="45" spans="1:22" x14ac:dyDescent="0.25">
      <c r="A45" s="57" t="s">
        <v>202</v>
      </c>
      <c r="B45" s="58">
        <f>143866.12+35352.03+4270.8</f>
        <v>183488.94999999998</v>
      </c>
      <c r="C45" s="59">
        <f>C43</f>
        <v>31012</v>
      </c>
      <c r="D45" s="60">
        <f>B45/C45</f>
        <v>5.9167080484973553</v>
      </c>
      <c r="E45" s="64">
        <f>D45/D37-1</f>
        <v>0.52239242560736932</v>
      </c>
      <c r="K45" s="6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K25" sqref="K25"/>
    </sheetView>
  </sheetViews>
  <sheetFormatPr defaultRowHeight="15" x14ac:dyDescent="0.25"/>
  <cols>
    <col min="1" max="1" width="39.28515625" style="24" customWidth="1"/>
    <col min="2" max="16384" width="9.140625" style="24"/>
  </cols>
  <sheetData>
    <row r="1" spans="1:1" x14ac:dyDescent="0.25">
      <c r="A1" s="25" t="s">
        <v>204</v>
      </c>
    </row>
    <row r="2" spans="1:1" x14ac:dyDescent="0.25">
      <c r="A2" s="25" t="s">
        <v>82</v>
      </c>
    </row>
    <row r="3" spans="1:1" x14ac:dyDescent="0.25">
      <c r="A3" s="24" t="s">
        <v>205</v>
      </c>
    </row>
    <row r="4" spans="1:1" x14ac:dyDescent="0.25">
      <c r="A4" s="24" t="s">
        <v>206</v>
      </c>
    </row>
    <row r="5" spans="1:1" x14ac:dyDescent="0.25">
      <c r="A5" s="25" t="s">
        <v>207</v>
      </c>
    </row>
    <row r="6" spans="1:1" x14ac:dyDescent="0.25">
      <c r="A6" s="24" t="s">
        <v>208</v>
      </c>
    </row>
    <row r="7" spans="1:1" x14ac:dyDescent="0.25">
      <c r="A7" s="24" t="s">
        <v>209</v>
      </c>
    </row>
    <row r="8" spans="1:1" x14ac:dyDescent="0.25">
      <c r="A8" s="24" t="s">
        <v>210</v>
      </c>
    </row>
    <row r="9" spans="1:1" x14ac:dyDescent="0.25">
      <c r="A9" s="24" t="s">
        <v>211</v>
      </c>
    </row>
    <row r="10" spans="1:1" x14ac:dyDescent="0.25">
      <c r="A10" s="24" t="s">
        <v>212</v>
      </c>
    </row>
    <row r="11" spans="1:1" x14ac:dyDescent="0.25">
      <c r="A11" s="24" t="s">
        <v>213</v>
      </c>
    </row>
    <row r="12" spans="1:1" x14ac:dyDescent="0.25">
      <c r="A12" s="24" t="s">
        <v>214</v>
      </c>
    </row>
    <row r="13" spans="1:1" x14ac:dyDescent="0.25">
      <c r="A13" s="25" t="s">
        <v>83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U41"/>
  <sheetViews>
    <sheetView topLeftCell="A11" zoomScaleNormal="100" workbookViewId="0">
      <selection activeCell="S27" sqref="S27"/>
    </sheetView>
  </sheetViews>
  <sheetFormatPr defaultRowHeight="15" x14ac:dyDescent="0.25"/>
  <cols>
    <col min="1" max="1025" width="8.5703125" customWidth="1"/>
  </cols>
  <sheetData>
    <row r="1" spans="2:21" x14ac:dyDescent="0.25">
      <c r="B1" t="s">
        <v>140</v>
      </c>
      <c r="D1" t="s">
        <v>71</v>
      </c>
    </row>
    <row r="2" spans="2:21" x14ac:dyDescent="0.25">
      <c r="B2" t="s">
        <v>215</v>
      </c>
      <c r="D2" t="s">
        <v>110</v>
      </c>
      <c r="S2" t="s">
        <v>216</v>
      </c>
      <c r="T2" s="4" t="s">
        <v>217</v>
      </c>
      <c r="U2" t="str">
        <f t="shared" ref="U2:U22" si="0">S2&amp;T2</f>
        <v>Adequar o Índice de ampliação da infraestrutura física</v>
      </c>
    </row>
    <row r="3" spans="2:21" ht="210" x14ac:dyDescent="0.25">
      <c r="B3" t="s">
        <v>218</v>
      </c>
      <c r="D3" t="s">
        <v>87</v>
      </c>
      <c r="S3" t="s">
        <v>216</v>
      </c>
      <c r="T3" s="5" t="s">
        <v>92</v>
      </c>
      <c r="U3" t="str">
        <f t="shared" si="0"/>
        <v>Adequar o Índice de manutenção e reforma
 da infraestrutura física
(contratos + almoxarifado obras)</v>
      </c>
    </row>
    <row r="4" spans="2:21" x14ac:dyDescent="0.25">
      <c r="B4" t="s">
        <v>219</v>
      </c>
      <c r="D4" t="s">
        <v>220</v>
      </c>
      <c r="S4" t="s">
        <v>221</v>
      </c>
      <c r="T4" s="4" t="s">
        <v>222</v>
      </c>
      <c r="U4" t="str">
        <f t="shared" si="0"/>
        <v xml:space="preserve">Elevar a Taxa de edificações acessiveis </v>
      </c>
    </row>
    <row r="5" spans="2:21" x14ac:dyDescent="0.25">
      <c r="S5" t="s">
        <v>223</v>
      </c>
      <c r="T5" s="4" t="s">
        <v>222</v>
      </c>
      <c r="U5" t="str">
        <f t="shared" si="0"/>
        <v xml:space="preserve">Manter aTaxa de edificações acessiveis </v>
      </c>
    </row>
    <row r="6" spans="2:21" x14ac:dyDescent="0.25">
      <c r="B6" s="6" t="s">
        <v>224</v>
      </c>
      <c r="D6" s="6" t="s">
        <v>225</v>
      </c>
      <c r="S6" t="s">
        <v>226</v>
      </c>
      <c r="T6" s="4" t="s">
        <v>227</v>
      </c>
      <c r="U6" t="str">
        <f t="shared" si="0"/>
        <v xml:space="preserve">Elevar o Índice de coleta seletiva solidária  </v>
      </c>
    </row>
    <row r="7" spans="2:21" x14ac:dyDescent="0.25">
      <c r="B7" s="6" t="s">
        <v>228</v>
      </c>
      <c r="D7" s="6" t="s">
        <v>229</v>
      </c>
      <c r="S7" t="s">
        <v>230</v>
      </c>
      <c r="T7" s="4" t="s">
        <v>227</v>
      </c>
      <c r="U7" t="str">
        <f t="shared" si="0"/>
        <v xml:space="preserve">Manter o Índice de coleta seletiva solidária  </v>
      </c>
    </row>
    <row r="8" spans="2:21" x14ac:dyDescent="0.25">
      <c r="B8" s="6" t="s">
        <v>231</v>
      </c>
      <c r="D8" s="6" t="s">
        <v>232</v>
      </c>
      <c r="S8" t="s">
        <v>221</v>
      </c>
      <c r="T8" s="4" t="s">
        <v>11</v>
      </c>
      <c r="U8" t="str">
        <f t="shared" si="0"/>
        <v>Elevar a Taxa de cobertura de Gerenciamento de Resíduos Sólidos (GRS)</v>
      </c>
    </row>
    <row r="9" spans="2:21" x14ac:dyDescent="0.25">
      <c r="B9" t="s">
        <v>233</v>
      </c>
      <c r="D9" s="6" t="s">
        <v>234</v>
      </c>
      <c r="S9" t="s">
        <v>235</v>
      </c>
      <c r="T9" s="4" t="s">
        <v>11</v>
      </c>
      <c r="U9" t="str">
        <f t="shared" si="0"/>
        <v>Manter a Taxa de cobertura de Gerenciamento de Resíduos Sólidos (GRS)</v>
      </c>
    </row>
    <row r="10" spans="2:21" ht="120" x14ac:dyDescent="0.25">
      <c r="B10" s="6" t="s">
        <v>236</v>
      </c>
      <c r="D10" s="6" t="s">
        <v>89</v>
      </c>
      <c r="S10" t="s">
        <v>216</v>
      </c>
      <c r="T10" s="5" t="s">
        <v>237</v>
      </c>
      <c r="U10" t="str">
        <f t="shared" si="0"/>
        <v>Adequar o Índice de gastos per capita 
com vigilância</v>
      </c>
    </row>
    <row r="11" spans="2:21" ht="120" x14ac:dyDescent="0.25">
      <c r="B11" s="6" t="s">
        <v>238</v>
      </c>
      <c r="S11" t="s">
        <v>216</v>
      </c>
      <c r="T11" s="5" t="s">
        <v>239</v>
      </c>
      <c r="U11" t="str">
        <f t="shared" si="0"/>
        <v xml:space="preserve">Adequar o Índice de gastos per capita
 com transporte </v>
      </c>
    </row>
    <row r="12" spans="2:21" ht="105" x14ac:dyDescent="0.25">
      <c r="B12" s="6" t="s">
        <v>240</v>
      </c>
      <c r="S12" t="s">
        <v>216</v>
      </c>
      <c r="T12" s="5" t="s">
        <v>241</v>
      </c>
      <c r="U12" t="str">
        <f t="shared" si="0"/>
        <v>Adequar o Índice de gastos per capita 
com limpeza</v>
      </c>
    </row>
    <row r="13" spans="2:21" x14ac:dyDescent="0.25">
      <c r="B13" s="6" t="s">
        <v>242</v>
      </c>
      <c r="S13" t="s">
        <v>243</v>
      </c>
      <c r="T13" s="4" t="s">
        <v>244</v>
      </c>
      <c r="U13" t="str">
        <f t="shared" si="0"/>
        <v>Diminuir o Índice de gasto per capita com consumo de água (m³)</v>
      </c>
    </row>
    <row r="14" spans="2:21" x14ac:dyDescent="0.25">
      <c r="B14" s="6" t="s">
        <v>245</v>
      </c>
      <c r="S14" t="s">
        <v>230</v>
      </c>
      <c r="T14" s="4" t="s">
        <v>244</v>
      </c>
      <c r="U14" t="str">
        <f t="shared" si="0"/>
        <v>Manter o Índice de gasto per capita com consumo de água (m³)</v>
      </c>
    </row>
    <row r="15" spans="2:21" x14ac:dyDescent="0.25">
      <c r="B15" s="6" t="s">
        <v>246</v>
      </c>
      <c r="S15" t="s">
        <v>243</v>
      </c>
      <c r="T15" s="4" t="s">
        <v>247</v>
      </c>
      <c r="U15" t="str">
        <f t="shared" si="0"/>
        <v>Diminuir o Índice de gasto per capita com consumo de Energia Elétrica (Kwh)</v>
      </c>
    </row>
    <row r="16" spans="2:21" x14ac:dyDescent="0.25">
      <c r="B16" s="6" t="s">
        <v>248</v>
      </c>
      <c r="S16" t="s">
        <v>230</v>
      </c>
      <c r="T16" s="4" t="s">
        <v>247</v>
      </c>
      <c r="U16" t="str">
        <f t="shared" si="0"/>
        <v>Manter o Índice de gasto per capita com consumo de Energia Elétrica (Kwh)</v>
      </c>
    </row>
    <row r="17" spans="2:21" x14ac:dyDescent="0.25">
      <c r="B17" s="6" t="s">
        <v>132</v>
      </c>
      <c r="S17" t="s">
        <v>243</v>
      </c>
      <c r="T17" s="4" t="s">
        <v>249</v>
      </c>
      <c r="U17" t="str">
        <f t="shared" si="0"/>
        <v>Diminuir o Índice de gasto per capita com consumo de papel (resmas)</v>
      </c>
    </row>
    <row r="18" spans="2:21" x14ac:dyDescent="0.25">
      <c r="B18" s="6" t="s">
        <v>250</v>
      </c>
      <c r="S18" t="s">
        <v>230</v>
      </c>
      <c r="T18" s="4" t="s">
        <v>249</v>
      </c>
      <c r="U18" t="str">
        <f t="shared" si="0"/>
        <v>Manter o Índice de gasto per capita com consumo de papel (resmas)</v>
      </c>
    </row>
    <row r="19" spans="2:21" x14ac:dyDescent="0.25">
      <c r="B19" s="6" t="s">
        <v>251</v>
      </c>
      <c r="S19" t="s">
        <v>243</v>
      </c>
      <c r="T19" s="4" t="s">
        <v>252</v>
      </c>
      <c r="U19" t="str">
        <f t="shared" si="0"/>
        <v>Diminuir o Índice de gasto per capita com  consumo de copos descartáveis</v>
      </c>
    </row>
    <row r="20" spans="2:21" x14ac:dyDescent="0.25">
      <c r="B20" s="6" t="s">
        <v>253</v>
      </c>
      <c r="S20" t="s">
        <v>230</v>
      </c>
      <c r="T20" s="4" t="s">
        <v>252</v>
      </c>
      <c r="U20" t="str">
        <f t="shared" si="0"/>
        <v>Manter o Índice de gasto per capita com  consumo de copos descartáveis</v>
      </c>
    </row>
    <row r="21" spans="2:21" x14ac:dyDescent="0.25">
      <c r="B21" s="6" t="s">
        <v>114</v>
      </c>
      <c r="S21" t="s">
        <v>226</v>
      </c>
      <c r="T21" s="4" t="s">
        <v>254</v>
      </c>
      <c r="U21" t="str">
        <f t="shared" si="0"/>
        <v>Elevar o Índice de gasto per capita com  descarte ambientalmente adequados de resíduos</v>
      </c>
    </row>
    <row r="22" spans="2:21" x14ac:dyDescent="0.25">
      <c r="B22" s="6" t="s">
        <v>255</v>
      </c>
      <c r="S22" t="s">
        <v>230</v>
      </c>
      <c r="T22" s="4" t="s">
        <v>254</v>
      </c>
      <c r="U22" t="str">
        <f t="shared" si="0"/>
        <v>Manter o Índice de gasto per capita com  descarte ambientalmente adequados de resíduos</v>
      </c>
    </row>
    <row r="23" spans="2:21" x14ac:dyDescent="0.25">
      <c r="T23" s="7" t="s">
        <v>256</v>
      </c>
      <c r="U23" s="7" t="s">
        <v>256</v>
      </c>
    </row>
    <row r="24" spans="2:21" x14ac:dyDescent="0.25">
      <c r="B24" t="s">
        <v>257</v>
      </c>
      <c r="T24" s="7" t="s">
        <v>258</v>
      </c>
      <c r="U24" s="7" t="s">
        <v>258</v>
      </c>
    </row>
    <row r="25" spans="2:21" x14ac:dyDescent="0.25">
      <c r="B25" s="8" t="s">
        <v>259</v>
      </c>
      <c r="T25" s="7" t="s">
        <v>260</v>
      </c>
      <c r="U25" s="7" t="s">
        <v>260</v>
      </c>
    </row>
    <row r="26" spans="2:21" x14ac:dyDescent="0.25">
      <c r="B26" s="8" t="s">
        <v>261</v>
      </c>
    </row>
    <row r="27" spans="2:21" x14ac:dyDescent="0.25">
      <c r="B27" s="8" t="s">
        <v>262</v>
      </c>
      <c r="S27" t="s">
        <v>263</v>
      </c>
    </row>
    <row r="28" spans="2:21" x14ac:dyDescent="0.25">
      <c r="B28" s="8" t="s">
        <v>264</v>
      </c>
      <c r="S28" t="s">
        <v>96</v>
      </c>
    </row>
    <row r="29" spans="2:21" x14ac:dyDescent="0.25">
      <c r="B29" s="8" t="s">
        <v>265</v>
      </c>
      <c r="S29" t="s">
        <v>86</v>
      </c>
    </row>
    <row r="30" spans="2:21" x14ac:dyDescent="0.25">
      <c r="B30" s="8" t="s">
        <v>266</v>
      </c>
      <c r="S30" t="s">
        <v>267</v>
      </c>
    </row>
    <row r="31" spans="2:21" x14ac:dyDescent="0.25">
      <c r="B31" s="8" t="s">
        <v>268</v>
      </c>
    </row>
    <row r="32" spans="2:21" ht="127.5" x14ac:dyDescent="0.25">
      <c r="B32" s="9" t="s">
        <v>269</v>
      </c>
    </row>
    <row r="33" spans="2:2" ht="178.5" x14ac:dyDescent="0.25">
      <c r="B33" s="9" t="s">
        <v>270</v>
      </c>
    </row>
    <row r="34" spans="2:2" x14ac:dyDescent="0.25">
      <c r="B34" s="8" t="s">
        <v>271</v>
      </c>
    </row>
    <row r="35" spans="2:2" ht="140.25" x14ac:dyDescent="0.25">
      <c r="B35" s="9" t="s">
        <v>272</v>
      </c>
    </row>
    <row r="36" spans="2:2" ht="267.75" x14ac:dyDescent="0.25">
      <c r="B36" s="9" t="s">
        <v>273</v>
      </c>
    </row>
    <row r="37" spans="2:2" x14ac:dyDescent="0.25">
      <c r="B37" s="8" t="s">
        <v>274</v>
      </c>
    </row>
    <row r="38" spans="2:2" ht="153" x14ac:dyDescent="0.25">
      <c r="B38" s="9" t="s">
        <v>275</v>
      </c>
    </row>
    <row r="39" spans="2:2" x14ac:dyDescent="0.25">
      <c r="B39" s="8" t="s">
        <v>145</v>
      </c>
    </row>
    <row r="40" spans="2:2" x14ac:dyDescent="0.25">
      <c r="B40" s="8" t="s">
        <v>276</v>
      </c>
    </row>
    <row r="41" spans="2:2" x14ac:dyDescent="0.25">
      <c r="B41" s="8" t="s">
        <v>277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Instruções</vt:lpstr>
      <vt:lpstr>Indicadores_Metas</vt:lpstr>
      <vt:lpstr>Indicadores_Metas Reprogramação</vt:lpstr>
      <vt:lpstr>Meta_Demandas</vt:lpstr>
      <vt:lpstr>Obras</vt:lpstr>
      <vt:lpstr>Memória de Cálculo</vt:lpstr>
      <vt:lpstr>lista suspensa</vt:lpstr>
      <vt:lpstr>Listas_suspensas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cp:keywords/>
  <dc:description/>
  <cp:lastModifiedBy>Taiza Rita Bertoldi Buzatto</cp:lastModifiedBy>
  <cp:revision>3</cp:revision>
  <dcterms:created xsi:type="dcterms:W3CDTF">2021-10-19T11:23:24Z</dcterms:created>
  <dcterms:modified xsi:type="dcterms:W3CDTF">2024-03-07T16:34:39Z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